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19\H1 2019\RAPORTY SCALONE\"/>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sheet'!$A$1:$E$70</definedName>
    <definedName name="_xlnm.Print_Area" localSheetId="7">'Cash flow'!$A$1:$D$41</definedName>
    <definedName name="_xlnm.Print_Area" localSheetId="8">'Hist. dane kwart. - Q figures'!$A$179:$AM$222</definedName>
    <definedName name="_xlnm.Print_Area" localSheetId="9">'Hist. dane półr. - H figures'!$A$179:$T$222</definedName>
    <definedName name="_xlnm.Print_Area" localSheetId="10">'Hist. dane roczne - FY figures'!$A$179:$K$222</definedName>
    <definedName name="_xlnm.Print_Area" localSheetId="5">'Rach. zysków i strat_P&amp;L'!$A$1:$F$38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ustomWorkbookViews>
    <customWorkbookView name="Bielewicz Justyna - Widok osobisty" guid="{786DE933-524F-40D1-8033-C008687087FC}" mergeInterval="0" personalView="1" maximized="1" xWindow="-8" yWindow="-8" windowWidth="1936" windowHeight="1056" tabRatio="796" activeSheetId="10"/>
    <customWorkbookView name="Marcin Siwczyk - Widok osobisty" guid="{627AEB6E-B9F1-415E-9A60-881757A50C67}" mergeInterval="0" personalView="1" maximized="1" xWindow="-8" yWindow="-8" windowWidth="1616" windowHeight="876" tabRatio="796" activeSheetId="2"/>
    <customWorkbookView name="Maciejczyk Ewa - Widok osobisty" guid="{874BA5F8-BD95-4DDF-8F31-98DB154CA965}" mergeInterval="0" personalView="1" maximized="1" xWindow="-8" yWindow="-8" windowWidth="1936" windowHeight="1056" tabRatio="796" activeSheetId="7"/>
    <customWorkbookView name="Otto Sonia - Widok osobisty" guid="{AAA495E0-27FD-4941-85B8-9038B6AD4FA3}" mergeInterval="0" personalView="1" maximized="1" xWindow="-8" yWindow="-8" windowWidth="1936" windowHeight="1056" tabRatio="796" activeSheetId="7"/>
    <customWorkbookView name="Wiechecka Irena - Widok osobisty" guid="{77EFF5B1-32BE-4080-9902-B97F43099026}" mergeInterval="0" personalView="1" maximized="1" xWindow="1592" yWindow="-8" windowWidth="1936" windowHeight="1096" tabRatio="7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C9" i="4"/>
  <c r="G9" i="4"/>
  <c r="F9" i="4"/>
  <c r="AM30" i="16" l="1"/>
  <c r="T187" i="17"/>
  <c r="T106" i="17"/>
  <c r="T102" i="17"/>
  <c r="T89" i="17" l="1"/>
  <c r="T64" i="17"/>
  <c r="T53" i="17"/>
  <c r="J9" i="4" l="1"/>
  <c r="I9" i="4"/>
  <c r="AL116" i="16"/>
  <c r="AL114" i="16"/>
  <c r="AL112" i="16"/>
  <c r="AK102" i="16"/>
  <c r="L4" i="4"/>
  <c r="M4" i="4"/>
  <c r="P4" i="4" s="1"/>
  <c r="L5" i="4"/>
  <c r="O5" i="4"/>
  <c r="M5" i="4"/>
  <c r="P5" i="4" s="1"/>
  <c r="L6" i="4"/>
  <c r="O6" i="4" s="1"/>
  <c r="M6" i="4"/>
  <c r="P6" i="4" s="1"/>
  <c r="L7" i="4"/>
  <c r="O7" i="4" s="1"/>
  <c r="M7" i="4"/>
  <c r="P7" i="4" s="1"/>
  <c r="L8" i="4"/>
  <c r="O8" i="4" s="1"/>
  <c r="M8" i="4"/>
  <c r="P8" i="4" s="1"/>
  <c r="D22" i="2"/>
  <c r="C28" i="2"/>
  <c r="C32" i="2"/>
  <c r="C35" i="2"/>
  <c r="C40" i="2" s="1"/>
  <c r="C3" i="2"/>
  <c r="C7" i="2"/>
  <c r="C10" i="2"/>
  <c r="C13" i="2"/>
  <c r="C18" i="2"/>
  <c r="C22" i="2"/>
  <c r="AG222" i="16"/>
  <c r="AG112" i="16"/>
  <c r="AG109" i="16"/>
  <c r="AG96" i="16"/>
  <c r="Q222" i="17"/>
  <c r="P30" i="17"/>
  <c r="Q6" i="17"/>
  <c r="Q5" i="17"/>
  <c r="AG18" i="16"/>
  <c r="AG17" i="16"/>
  <c r="AI18" i="16"/>
  <c r="AI17" i="16"/>
  <c r="AG14" i="16"/>
  <c r="AF14" i="16"/>
  <c r="Q13" i="17"/>
  <c r="Q14" i="17" s="1"/>
  <c r="K62" i="18"/>
  <c r="K210" i="18"/>
  <c r="K202" i="18"/>
  <c r="K187" i="18"/>
  <c r="K86" i="18"/>
  <c r="K103" i="18"/>
  <c r="K99" i="18"/>
  <c r="J106" i="18"/>
  <c r="J58" i="18"/>
  <c r="K51" i="18"/>
  <c r="K29" i="18"/>
  <c r="K30" i="18" s="1"/>
  <c r="CZ23" i="4"/>
  <c r="CY23" i="4"/>
  <c r="CW23" i="4"/>
  <c r="CV23" i="4"/>
  <c r="CT23" i="4"/>
  <c r="CS23" i="4"/>
  <c r="DC12" i="4"/>
  <c r="DB12" i="4"/>
  <c r="CZ12" i="4"/>
  <c r="CY12" i="4"/>
  <c r="CW12" i="4"/>
  <c r="CV12" i="4"/>
  <c r="CT12" i="4"/>
  <c r="CS12" i="4"/>
  <c r="CP9" i="4"/>
  <c r="CO9" i="4"/>
  <c r="CM9" i="4"/>
  <c r="CL9" i="4"/>
  <c r="CJ9" i="4"/>
  <c r="CI9" i="4"/>
  <c r="CG9" i="4"/>
  <c r="CF9" i="4"/>
  <c r="CD9" i="4"/>
  <c r="CC9" i="4"/>
  <c r="CA9" i="4"/>
  <c r="BZ9" i="4"/>
  <c r="BX9" i="4"/>
  <c r="BW9" i="4"/>
  <c r="BU9" i="4"/>
  <c r="BT9" i="4"/>
  <c r="BR9" i="4"/>
  <c r="BQ9" i="4"/>
  <c r="BO9" i="4"/>
  <c r="BN9" i="4"/>
  <c r="BL9" i="4"/>
  <c r="BK9" i="4"/>
  <c r="BI9" i="4"/>
  <c r="BH9" i="4"/>
  <c r="BF9" i="4"/>
  <c r="BE9" i="4"/>
  <c r="BC9" i="4"/>
  <c r="BB9" i="4"/>
  <c r="AZ9" i="4"/>
  <c r="AY9" i="4"/>
  <c r="AW9" i="4"/>
  <c r="AV9" i="4"/>
  <c r="AT9" i="4"/>
  <c r="AS9" i="4"/>
  <c r="AQ9" i="4"/>
  <c r="AP9" i="4"/>
  <c r="AN9" i="4"/>
  <c r="AM9" i="4"/>
  <c r="AK9" i="4"/>
  <c r="AJ9" i="4"/>
  <c r="AH9" i="4"/>
  <c r="AG9" i="4"/>
  <c r="AE9" i="4"/>
  <c r="AD9" i="4"/>
  <c r="AB9" i="4"/>
  <c r="AA9" i="4"/>
  <c r="Y9" i="4"/>
  <c r="X9" i="4"/>
  <c r="V9" i="4"/>
  <c r="U9" i="4"/>
  <c r="S9" i="4"/>
  <c r="R9" i="4"/>
  <c r="CC15" i="3"/>
  <c r="CB15" i="3"/>
  <c r="CA15" i="3"/>
  <c r="BZ15" i="3"/>
  <c r="CC14" i="3"/>
  <c r="CB14" i="3"/>
  <c r="CA14" i="3"/>
  <c r="BZ14" i="3"/>
  <c r="CC13" i="3"/>
  <c r="CB13" i="3"/>
  <c r="CA13" i="3"/>
  <c r="BZ13" i="3"/>
  <c r="CC12" i="3"/>
  <c r="CB12" i="3"/>
  <c r="CA12" i="3"/>
  <c r="BZ12" i="3"/>
  <c r="CC11" i="3"/>
  <c r="CB11" i="3"/>
  <c r="CA11" i="3"/>
  <c r="BZ11" i="3"/>
  <c r="CC7" i="3"/>
  <c r="CB7" i="3"/>
  <c r="CA7" i="3"/>
  <c r="BZ7" i="3"/>
  <c r="CC6" i="3"/>
  <c r="CB6" i="3"/>
  <c r="CA6" i="3"/>
  <c r="BZ6" i="3"/>
  <c r="CC5" i="3"/>
  <c r="CB5" i="3"/>
  <c r="CA5" i="3"/>
  <c r="BZ5" i="3"/>
  <c r="CC4" i="3"/>
  <c r="CB4" i="3"/>
  <c r="CA4" i="3"/>
  <c r="BZ4" i="3"/>
  <c r="CC3" i="3"/>
  <c r="CB3" i="3"/>
  <c r="CA3" i="3"/>
  <c r="BZ3" i="3"/>
  <c r="D28" i="2"/>
  <c r="D32" i="2" s="1"/>
  <c r="D44" i="2" s="1"/>
  <c r="C16" i="2"/>
  <c r="Q17" i="11"/>
  <c r="L17" i="11"/>
  <c r="Q7" i="11"/>
  <c r="P7" i="11"/>
  <c r="L7" i="11"/>
  <c r="BJ22" i="1"/>
  <c r="BB22" i="1" s="1"/>
  <c r="AZ22" i="1"/>
  <c r="BJ21" i="1"/>
  <c r="BB21" i="1" s="1"/>
  <c r="AZ21" i="1"/>
  <c r="BJ20" i="1"/>
  <c r="BB20" i="1"/>
  <c r="AZ20" i="1"/>
  <c r="BL19" i="1"/>
  <c r="BJ19" i="1"/>
  <c r="BB19" i="1"/>
  <c r="AZ19" i="1"/>
  <c r="BJ7" i="1"/>
  <c r="BN7" i="1"/>
  <c r="BL7" i="1"/>
  <c r="BB7" i="1"/>
  <c r="AZ7" i="1"/>
  <c r="BN6" i="1"/>
  <c r="BL6" i="1"/>
  <c r="BB6" i="1"/>
  <c r="AZ6" i="1"/>
  <c r="BN5" i="1"/>
  <c r="BL5" i="1"/>
  <c r="BB5" i="1"/>
  <c r="AZ5" i="1"/>
  <c r="BN4" i="1"/>
  <c r="BL4" i="1"/>
  <c r="BB4" i="1"/>
  <c r="AZ4" i="1"/>
  <c r="BN3" i="1"/>
  <c r="BL3" i="1"/>
  <c r="BB3" i="1"/>
  <c r="AZ3" i="1"/>
  <c r="R6" i="17"/>
  <c r="R5" i="17"/>
  <c r="AI6" i="16"/>
  <c r="AI5" i="16"/>
  <c r="F162" i="18"/>
  <c r="E162" i="18"/>
  <c r="D162" i="18"/>
  <c r="H95" i="18"/>
  <c r="G95" i="18"/>
  <c r="H84" i="18"/>
  <c r="F66" i="18"/>
  <c r="E66" i="18"/>
  <c r="D66" i="18"/>
  <c r="C66" i="18"/>
  <c r="B66" i="18"/>
  <c r="H48" i="18"/>
  <c r="G48" i="18"/>
  <c r="F29" i="18"/>
  <c r="F30" i="18" s="1"/>
  <c r="F31" i="18" s="1"/>
  <c r="I26" i="18"/>
  <c r="O27" i="17" s="1"/>
  <c r="H26" i="18"/>
  <c r="H16" i="18"/>
  <c r="H15" i="18"/>
  <c r="I162" i="17"/>
  <c r="G162" i="17"/>
  <c r="D143" i="17"/>
  <c r="L141" i="17"/>
  <c r="F103" i="17"/>
  <c r="D103" i="17"/>
  <c r="B103" i="17"/>
  <c r="P102" i="17"/>
  <c r="P98" i="17"/>
  <c r="N98" i="17"/>
  <c r="P89" i="17"/>
  <c r="N87" i="17"/>
  <c r="J68" i="17"/>
  <c r="I68" i="17"/>
  <c r="H68" i="17"/>
  <c r="G68" i="17"/>
  <c r="F68" i="17"/>
  <c r="E68" i="17"/>
  <c r="D68" i="17"/>
  <c r="C68" i="17"/>
  <c r="B68" i="17"/>
  <c r="M50" i="17"/>
  <c r="F30" i="17"/>
  <c r="F31" i="17"/>
  <c r="O29" i="17"/>
  <c r="P31" i="17"/>
  <c r="M27" i="17"/>
  <c r="H22" i="17"/>
  <c r="H21" i="17"/>
  <c r="H20" i="17"/>
  <c r="H14" i="17"/>
  <c r="H7" i="17"/>
  <c r="H6" i="17"/>
  <c r="H5" i="17"/>
  <c r="AE202" i="16"/>
  <c r="AD187" i="16"/>
  <c r="V162" i="16"/>
  <c r="N162" i="16"/>
  <c r="W141" i="16"/>
  <c r="I116" i="16"/>
  <c r="I114" i="16"/>
  <c r="Y112" i="16"/>
  <c r="I112" i="16"/>
  <c r="I110" i="16"/>
  <c r="I108" i="16"/>
  <c r="I107" i="16"/>
  <c r="AF106" i="16"/>
  <c r="G103" i="16"/>
  <c r="AF102" i="16"/>
  <c r="AB98" i="16"/>
  <c r="AA98" i="16"/>
  <c r="Z98" i="16"/>
  <c r="Y96" i="16"/>
  <c r="I96" i="16"/>
  <c r="I94" i="16"/>
  <c r="I93" i="16"/>
  <c r="AF89" i="16"/>
  <c r="AB87" i="16"/>
  <c r="AA87" i="16"/>
  <c r="Z87" i="16"/>
  <c r="I84" i="16"/>
  <c r="I82" i="16"/>
  <c r="I80" i="16"/>
  <c r="I79" i="16"/>
  <c r="T68" i="16"/>
  <c r="S68" i="16"/>
  <c r="R68" i="16"/>
  <c r="Q68" i="16"/>
  <c r="P68" i="16"/>
  <c r="O68" i="16"/>
  <c r="N68" i="16"/>
  <c r="M68" i="16"/>
  <c r="L68" i="16"/>
  <c r="K68" i="16"/>
  <c r="J68" i="16"/>
  <c r="I68" i="16"/>
  <c r="H68" i="16"/>
  <c r="G68" i="16"/>
  <c r="F68" i="16"/>
  <c r="E68" i="16"/>
  <c r="D68" i="16"/>
  <c r="C68" i="16"/>
  <c r="B68" i="16"/>
  <c r="AF64" i="16"/>
  <c r="AB50" i="16"/>
  <c r="AA50" i="16"/>
  <c r="Z50" i="16"/>
  <c r="AE41" i="16"/>
  <c r="AA29" i="16"/>
  <c r="AA27" i="16"/>
  <c r="Y27" i="16"/>
  <c r="AE25" i="16"/>
  <c r="O6" i="16"/>
  <c r="O5" i="16"/>
  <c r="L9" i="4" l="1"/>
  <c r="O4" i="4"/>
  <c r="C44" i="2"/>
  <c r="O9" i="4"/>
  <c r="P9" i="4"/>
  <c r="M9" i="4"/>
</calcChain>
</file>

<file path=xl/sharedStrings.xml><?xml version="1.0" encoding="utf-8"?>
<sst xmlns="http://schemas.openxmlformats.org/spreadsheetml/2006/main" count="1938" uniqueCount="998">
  <si>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</si>
  <si>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</si>
  <si>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</si>
  <si>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</si>
  <si>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</si>
  <si>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</si>
  <si>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</si>
  <si>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</si>
  <si>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</si>
  <si>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</si>
  <si>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</si>
  <si>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</si>
  <si>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</si>
  <si>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</si>
  <si>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</si>
  <si>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</si>
  <si>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</si>
  <si>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</si>
  <si>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</si>
  <si>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</si>
  <si>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</si>
  <si>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</si>
  <si>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</si>
  <si>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</si>
  <si>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</si>
  <si>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</si>
  <si>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</si>
  <si>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</si>
  <si>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</si>
  <si>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</si>
  <si>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</si>
  <si>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</si>
  <si>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</si>
  <si>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</si>
  <si>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</si>
  <si>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</si>
  <si>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</si>
  <si>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</si>
  <si>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</si>
  <si>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</si>
  <si>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</si>
  <si>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</si>
  <si>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</si>
  <si>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</si>
  <si>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</si>
  <si>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</si>
  <si>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</si>
  <si>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</si>
  <si>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</si>
  <si>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</si>
  <si>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</si>
  <si>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</si>
  <si>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</si>
  <si>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</si>
  <si>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</si>
  <si>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</si>
  <si>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</si>
  <si>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</si>
  <si>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</si>
  <si>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</si>
  <si>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</si>
  <si>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</si>
  <si>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</si>
  <si>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</si>
  <si>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</si>
  <si>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</si>
  <si>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</si>
  <si>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</si>
  <si>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</si>
  <si>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</si>
  <si>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</si>
  <si>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</si>
  <si>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</si>
  <si>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</si>
  <si>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</si>
  <si>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</si>
  <si>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</si>
  <si>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</si>
  <si>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</si>
  <si>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</si>
  <si>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</si>
  <si>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</si>
  <si>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</si>
  <si>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</si>
  <si>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</si>
  <si>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</si>
  <si>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</si>
  <si>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</si>
  <si>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</si>
  <si>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</si>
  <si>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</si>
  <si>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</si>
  <si>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</si>
  <si>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</si>
  <si>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</si>
  <si>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</si>
  <si>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</si>
  <si>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</si>
  <si>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</si>
  <si>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</si>
  <si>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</si>
  <si>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</si>
  <si>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</si>
  <si>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</si>
  <si>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</si>
  <si>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</si>
  <si>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</si>
  <si>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</si>
  <si>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</si>
  <si>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</si>
  <si>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</si>
  <si>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</si>
  <si>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</si>
  <si>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</si>
  <si>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</si>
  <si>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</si>
  <si>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</si>
  <si>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</si>
  <si>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</si>
  <si>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15.1</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</si>
  <si>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</si>
  <si>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</si>
  <si>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</si>
  <si>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</si>
  <si>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</si>
  <si>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</si>
  <si>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</si>
  <si>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</si>
  <si>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</si>
  <si>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</si>
  <si>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</si>
  <si>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</si>
  <si>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</si>
  <si>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</si>
  <si>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</si>
  <si>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</si>
  <si>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</si>
  <si>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</si>
  <si>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</si>
  <si>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</si>
  <si>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</si>
  <si>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</si>
  <si>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</si>
  <si>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</si>
  <si>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</si>
  <si>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</si>
  <si>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</si>
  <si>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</si>
  <si>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</si>
  <si>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</si>
  <si>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</si>
  <si>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</si>
  <si>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</si>
  <si>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</si>
  <si>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</si>
  <si>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</si>
  <si>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</si>
  <si>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</si>
  <si>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</si>
  <si>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</si>
  <si>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</si>
  <si>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</si>
  <si>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</si>
  <si>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</si>
  <si>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</si>
  <si>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</si>
  <si>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</si>
  <si>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</si>
  <si>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</si>
  <si>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</si>
  <si>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</si>
  <si>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</si>
  <si>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</si>
  <si>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</si>
  <si>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</si>
  <si>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</si>
  <si>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</si>
  <si>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</si>
  <si>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</si>
  <si>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</si>
  <si>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</si>
  <si>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</si>
  <si>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</si>
  <si>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</si>
  <si>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</si>
  <si>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</si>
  <si>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</si>
  <si>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</si>
  <si>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</si>
  <si>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</si>
  <si>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</si>
  <si>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</si>
  <si>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</si>
  <si>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</si>
  <si>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</si>
  <si>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</si>
  <si>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</si>
  <si>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</si>
  <si>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</si>
  <si>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</si>
  <si>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</si>
  <si>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</si>
  <si>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</si>
  <si>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</si>
  <si>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</si>
  <si>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</si>
  <si>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</si>
  <si>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</si>
  <si>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</si>
  <si>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</si>
  <si>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</si>
  <si>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</si>
  <si>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</si>
  <si>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</si>
  <si>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</si>
  <si>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</si>
  <si>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</si>
  <si>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</si>
  <si>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</si>
  <si>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</si>
  <si>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</si>
  <si>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</si>
  <si>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</si>
  <si>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</si>
  <si>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</si>
  <si>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</si>
  <si>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</si>
  <si>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</si>
  <si>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</si>
  <si>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</si>
  <si>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</si>
  <si>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</si>
  <si>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</si>
  <si>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</si>
  <si>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</si>
  <si>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</si>
  <si>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</si>
  <si>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</si>
  <si>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</si>
  <si>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</si>
  <si>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</si>
  <si>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</si>
  <si>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</si>
  <si>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</si>
  <si>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</si>
  <si>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</si>
  <si>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</si>
  <si>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</si>
  <si>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</si>
  <si>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</si>
  <si>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</si>
  <si>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</si>
  <si>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</si>
  <si>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</si>
  <si>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</si>
  <si>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</si>
  <si>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</si>
  <si>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</si>
  <si>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</si>
  <si>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</si>
  <si>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</si>
  <si>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</si>
  <si>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</si>
  <si>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</si>
  <si>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</si>
  <si>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</si>
  <si>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</si>
  <si>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</si>
  <si>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</si>
  <si>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</si>
  <si>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</si>
  <si>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</si>
  <si>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</si>
  <si>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</si>
  <si>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</si>
  <si>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</si>
  <si>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</si>
  <si>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</si>
  <si>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</si>
  <si>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</si>
  <si>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</si>
  <si>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</si>
  <si>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</si>
  <si>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</si>
  <si>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</si>
  <si>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</si>
  <si>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</si>
  <si>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</si>
  <si>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</si>
  <si>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</si>
  <si>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</si>
  <si>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</si>
  <si>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</si>
  <si>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</si>
  <si>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</si>
  <si>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</si>
  <si>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</si>
  <si>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</si>
  <si>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</si>
  <si>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</si>
  <si>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</si>
  <si>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Zysk przed opodatkowaniem / Profit before tax</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</si>
  <si>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</si>
  <si>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</si>
  <si>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</si>
  <si>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</si>
  <si>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</si>
  <si>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</si>
  <si>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</si>
  <si>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</si>
  <si>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</si>
  <si>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</si>
  <si>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</si>
  <si>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</si>
  <si>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</si>
  <si>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</si>
  <si>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</si>
  <si>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</si>
  <si>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Świadectwa energii i prawa do emisji gazów do umorzenia / Energy certificates and emission allowances for surrender</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</si>
  <si>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</si>
  <si>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</si>
  <si>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</si>
  <si>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</si>
  <si>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</si>
  <si>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</si>
  <si>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</si>
  <si>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</si>
  <si>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</si>
  <si>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</si>
  <si>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</si>
  <si>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</si>
  <si>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</si>
  <si>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</si>
  <si>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</si>
  <si>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</si>
  <si>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</si>
  <si>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</si>
  <si>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</si>
  <si>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</si>
  <si>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</si>
  <si>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</si>
  <si>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</si>
  <si>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</si>
  <si>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</si>
  <si>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</si>
  <si>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</si>
  <si>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</si>
  <si>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</si>
  <si>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</si>
  <si>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</si>
  <si>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</si>
  <si>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</si>
  <si>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</si>
  <si>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</si>
  <si>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</si>
  <si>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</si>
  <si>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Zysk przed opodatkowaniem / Profit before taxation</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</si>
  <si>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</si>
  <si>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</si>
  <si>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</si>
  <si>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</si>
  <si>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</si>
  <si>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</si>
  <si>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</si>
  <si>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</si>
  <si>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</si>
  <si>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</si>
  <si>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</si>
  <si>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</si>
  <si>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</si>
  <si>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</si>
  <si>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</si>
  <si>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</si>
  <si>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</si>
  <si>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</si>
  <si>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</si>
  <si>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</si>
  <si>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</si>
  <si>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</si>
  <si>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</si>
  <si>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</si>
  <si>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</si>
  <si>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</si>
  <si>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</si>
  <si>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</si>
  <si>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</si>
  <si>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</si>
  <si>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</si>
  <si>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</si>
  <si>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</si>
  <si>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</si>
  <si>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</si>
  <si>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</si>
  <si>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</si>
  <si>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</si>
  <si>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</si>
  <si>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</si>
  <si>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</si>
  <si>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</si>
  <si>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</si>
  <si>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</si>
  <si>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</si>
  <si>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</si>
  <si>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</si>
  <si>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</si>
  <si>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</si>
  <si>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</si>
  <si>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</si>
  <si>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</si>
  <si>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</si>
  <si>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</si>
  <si>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</si>
  <si>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</si>
  <si>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</si>
  <si>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</si>
  <si>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</si>
  <si>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</si>
  <si>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</si>
  <si>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</si>
  <si>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</si>
  <si>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</si>
  <si>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</si>
  <si>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</si>
  <si>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</si>
  <si>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</si>
  <si>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</si>
  <si>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</si>
  <si>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</si>
  <si>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</si>
  <si>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</si>
  <si>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</si>
  <si>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</si>
  <si>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</si>
  <si>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</si>
  <si>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</si>
  <si>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</si>
  <si>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</si>
  <si>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</si>
  <si>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</si>
  <si>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</si>
  <si>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</si>
  <si>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</si>
  <si>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</si>
  <si>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</si>
  <si>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</si>
  <si>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</si>
  <si>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</si>
  <si>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</si>
  <si>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</si>
  <si>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</si>
  <si>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</si>
  <si>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</si>
  <si>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</si>
  <si>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</si>
  <si>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</si>
  <si>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</si>
  <si>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</si>
  <si>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</si>
  <si>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</si>
  <si>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</si>
  <si>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</si>
  <si>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</si>
  <si>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</si>
  <si>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</si>
  <si>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</si>
  <si>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</si>
  <si>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</si>
  <si>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</si>
  <si>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</si>
  <si>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</si>
  <si>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</si>
  <si>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</si>
  <si>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</si>
  <si>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</si>
  <si>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</si>
  <si>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</si>
  <si>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</si>
  <si>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</si>
  <si>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</si>
  <si>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</si>
  <si>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</si>
  <si>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</si>
  <si>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</si>
  <si>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</si>
  <si>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</si>
  <si>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</si>
  <si>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</si>
  <si>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</si>
  <si>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</si>
  <si>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</si>
  <si>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</si>
  <si>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</si>
  <si>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</si>
  <si>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</si>
  <si>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</si>
  <si>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</si>
  <si>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</si>
  <si>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</si>
  <si>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</si>
  <si>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</si>
  <si>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</si>
  <si>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</si>
  <si>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</si>
  <si>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</si>
  <si>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</si>
  <si>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</si>
  <si>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</si>
  <si>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</si>
  <si>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</si>
  <si>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</si>
  <si>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</si>
  <si>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</si>
  <si>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</si>
  <si>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</si>
  <si>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</si>
  <si>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</si>
  <si>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</si>
  <si>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</si>
  <si>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</si>
  <si>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</si>
  <si>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</si>
  <si>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</si>
  <si>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</si>
  <si>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</si>
  <si>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</si>
  <si>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</si>
  <si>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</si>
  <si>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</si>
  <si>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</si>
  <si>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</si>
  <si>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</si>
  <si>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</si>
  <si>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</si>
  <si>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</si>
  <si>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</si>
  <si>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</si>
  <si>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</si>
  <si>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</si>
  <si>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</si>
  <si>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</si>
  <si>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</si>
  <si>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</si>
  <si>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</si>
  <si>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</si>
  <si>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</si>
  <si>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</si>
  <si>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</si>
  <si>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</si>
  <si>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</si>
  <si>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</si>
  <si>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</si>
  <si>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</si>
  <si>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</si>
  <si>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</si>
  <si>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</si>
  <si>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</si>
  <si>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</si>
  <si>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</si>
  <si>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</si>
  <si>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</si>
  <si>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</si>
  <si>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</si>
  <si>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</si>
  <si>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</si>
  <si>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</si>
  <si>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</si>
  <si>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</si>
  <si>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</si>
  <si>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</si>
  <si>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</si>
  <si>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</si>
  <si>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</si>
  <si>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</si>
  <si>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</si>
  <si>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</si>
  <si>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</si>
  <si>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</si>
  <si>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</si>
  <si>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</si>
  <si>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</si>
  <si>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</si>
  <si>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</si>
  <si>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</si>
  <si>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</si>
  <si>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</si>
  <si>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</si>
  <si>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</si>
  <si>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</si>
  <si>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</si>
  <si>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leasingu finansowego / Finance lease and hire purchase commitments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</si>
  <si>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</si>
  <si>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</si>
  <si>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</si>
  <si>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</si>
  <si>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Bieżąca część zobowiązań z tytułu leasingu finansowego / Current portion of finance lease and hire purchase commitments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</si>
  <si>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</si>
  <si>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</si>
  <si>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</si>
  <si>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</si>
  <si>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Zobowiązanie z tytułu podataków i opłat / Liabilities arising from taxes and charges</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</si>
  <si>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</si>
  <si>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</si>
  <si>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</si>
  <si>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</si>
  <si>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</si>
  <si>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</si>
  <si>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</si>
  <si>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</si>
  <si>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</si>
  <si>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</si>
  <si>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</si>
  <si>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</si>
  <si>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</si>
  <si>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</si>
  <si>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</si>
  <si>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</si>
  <si>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</si>
  <si>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</si>
  <si>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</si>
  <si>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</si>
  <si>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</si>
  <si>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</si>
  <si>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</si>
  <si>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</si>
  <si>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</si>
  <si>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</si>
  <si>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</si>
  <si>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</si>
  <si>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</si>
  <si>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</si>
  <si>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</si>
  <si>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</si>
  <si>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</si>
  <si>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</si>
  <si>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</si>
  <si>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</si>
  <si>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</si>
  <si>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</si>
  <si>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</si>
  <si>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</si>
  <si>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</si>
  <si>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</si>
  <si>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</si>
  <si>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</si>
  <si>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</si>
  <si>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</si>
  <si>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</si>
  <si>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</si>
  <si>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</si>
  <si>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</si>
  <si>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</si>
  <si>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</si>
  <si>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</si>
  <si>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</si>
  <si>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</si>
  <si>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</si>
  <si>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</si>
  <si>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</si>
  <si>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</si>
  <si>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</si>
  <si>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</si>
  <si>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</si>
  <si>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</si>
  <si>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</si>
  <si>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</si>
  <si>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</si>
  <si>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</si>
  <si>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</si>
  <si>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</si>
  <si>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</si>
  <si>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</si>
  <si>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</si>
  <si>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</si>
  <si>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</si>
  <si>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</si>
  <si>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</si>
  <si>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</si>
  <si>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</si>
  <si>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</si>
  <si>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</si>
  <si>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</si>
  <si>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</si>
  <si>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</si>
  <si>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</si>
  <si>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</si>
  <si>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</si>
  <si>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</si>
  <si>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</si>
  <si>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</si>
  <si>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</si>
  <si>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</si>
  <si>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</si>
  <si>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</si>
  <si>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</si>
  <si>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</si>
  <si>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</si>
  <si>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</si>
  <si>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</si>
  <si>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</si>
  <si>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</si>
  <si>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</si>
  <si>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</si>
  <si>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</si>
  <si>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</si>
  <si>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</si>
  <si>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</si>
  <si>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</si>
  <si>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</si>
  <si>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</si>
  <si>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</si>
  <si>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</si>
  <si>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</si>
  <si>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</si>
  <si>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</si>
  <si>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</si>
  <si>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</si>
  <si>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</si>
  <si>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</si>
  <si>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</si>
  <si>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</si>
  <si>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</si>
  <si>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</si>
  <si>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</si>
  <si>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</si>
  <si>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</si>
  <si>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</si>
  <si>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</si>
  <si>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</si>
  <si>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</si>
  <si>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</si>
  <si>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</si>
  <si>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</si>
  <si>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</si>
  <si>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</si>
  <si>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</si>
  <si>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</si>
  <si>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</si>
  <si>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</si>
  <si>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</si>
  <si>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</si>
  <si>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</si>
  <si>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</si>
  <si>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</si>
  <si>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</si>
  <si>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</si>
  <si>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</si>
  <si>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</si>
  <si>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</si>
  <si>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Odpisy aktualizujące wartość rzeczowych aktywów trwałych, aktywów niematerialnych i wartości firmy /    Impairment losses on property, plant and equipment and intangible assets</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</si>
  <si>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</si>
  <si>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</si>
  <si>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</si>
  <si>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</si>
  <si>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</si>
  <si>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</si>
  <si>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</si>
  <si>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</si>
  <si>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</si>
  <si>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</si>
  <si>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</si>
  <si>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</si>
  <si>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</si>
  <si>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</si>
  <si>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</si>
  <si>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</si>
  <si>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</si>
  <si>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</si>
  <si>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</si>
  <si>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</si>
  <si>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</si>
  <si>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</si>
  <si>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</si>
  <si>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</si>
  <si>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Bieżąca część zobowiązań z tytułu leasingu finansowego / Current portion of lease and hire purchase commitments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</si>
  <si>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</si>
  <si>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</si>
  <si>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</si>
  <si>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</si>
  <si>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</si>
  <si>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</si>
  <si>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</si>
  <si>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</si>
  <si>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</si>
  <si>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</si>
  <si>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</si>
  <si>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</si>
  <si>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</si>
  <si>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</si>
  <si>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</si>
  <si>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</si>
  <si>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</si>
  <si>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</si>
  <si>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</si>
  <si>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</si>
  <si>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</si>
  <si>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</si>
  <si>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</si>
  <si>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</si>
  <si>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</si>
  <si>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</si>
  <si>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</si>
  <si>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</si>
  <si>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</si>
  <si>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</si>
  <si>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</si>
  <si>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</si>
  <si>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</si>
  <si>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</si>
  <si>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</si>
  <si>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</si>
  <si>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</si>
  <si>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</si>
  <si>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</si>
  <si>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</si>
  <si>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</si>
  <si>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</si>
  <si>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</si>
  <si>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I półrocze 2018 / 
H1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</si>
  <si>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</si>
  <si>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</si>
  <si>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</si>
  <si>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</si>
  <si>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II kwartał 2018 r. /
Q2 2018</t>
  </si>
  <si>
    <t>30 czerwca 2018 r. /
30 June 2018</t>
  </si>
  <si>
    <t>II kwartał 2018 / 
Q2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</si>
  <si>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</si>
  <si>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</si>
  <si>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</si>
  <si>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</si>
  <si>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</si>
  <si>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</si>
  <si>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</si>
  <si>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</si>
  <si>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</si>
  <si>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</si>
  <si>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</si>
  <si>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</si>
  <si>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</si>
  <si>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</si>
  <si>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</si>
  <si>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</si>
  <si>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</si>
  <si>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</si>
  <si>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</si>
  <si>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</si>
  <si>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</si>
  <si>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</si>
  <si>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</si>
  <si>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</si>
  <si>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</si>
  <si>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</si>
  <si>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</si>
  <si>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</si>
  <si>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</si>
  <si>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</si>
  <si>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</si>
  <si>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</si>
  <si>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</si>
  <si>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</si>
  <si>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</si>
  <si>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</si>
  <si>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</si>
  <si>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</si>
  <si>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</si>
  <si>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</si>
  <si>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</si>
  <si>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</si>
  <si>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</si>
  <si>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</si>
  <si>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</si>
  <si>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</si>
  <si>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</si>
  <si>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</si>
  <si>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</si>
  <si>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</si>
  <si>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</si>
  <si>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</si>
  <si>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</si>
  <si>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</si>
  <si>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</si>
  <si>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</si>
  <si>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</si>
  <si>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</si>
  <si>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</si>
  <si>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</si>
  <si>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</si>
  <si>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</si>
  <si>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</si>
  <si>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III kwartał 2018 r. /
Q3 2018</t>
  </si>
  <si>
    <t>30 września 2018 r. /
30 September 2018</t>
  </si>
  <si>
    <t>III kwartał 2018 / 
Q3 2018</t>
  </si>
  <si>
    <t>I półrocze 2018 (dane przekształcone)/
H1 2018 (adjusted figures)</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</si>
  <si>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</si>
  <si>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</si>
  <si>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</si>
  <si>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</si>
  <si>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</si>
  <si>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</si>
  <si>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</si>
  <si>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</si>
  <si>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</si>
  <si>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</si>
  <si>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</si>
  <si>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</si>
  <si>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</si>
  <si>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</si>
  <si>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33.1</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</si>
  <si>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</si>
  <si>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</si>
  <si>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</si>
  <si>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</si>
  <si>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30.6</t>
  </si>
  <si>
    <t>Wpływy od udziałowców niekontrolujących / Proceeds from non-controlling interests</t>
  </si>
  <si>
    <t>Wpływy z tytułu zaciągnięcia kredytów/pożyczek / Proceeds from contracted loans/borrowings</t>
  </si>
  <si>
    <t>Otrzymane dotacje i rekompensaty / Subsidies and amends received</t>
  </si>
  <si>
    <t>43.1</t>
  </si>
  <si>
    <t>43.2</t>
  </si>
  <si>
    <t>43.3</t>
  </si>
  <si>
    <t>Rok zakończony             31 grudnia 2018 r. / 
Year ended 31 December 2018</t>
  </si>
  <si>
    <t xml:space="preserve">Rok zakończony             31 grudnia 2017 r. (dane przekształcone)/ 
Year ended 31 December 2017 (restated figures) </t>
  </si>
  <si>
    <t>Zmiana prezentacji pozycji w GK / 
Changed presentation of item in Capital Group</t>
  </si>
  <si>
    <t>Rok zakończony             31 grudnia 20178r. / 
Year ended 31 December 2018</t>
  </si>
  <si>
    <t xml:space="preserve">    Wpływy od udziałowców niekontrolujących / Proceeds from non-controlling interests</t>
  </si>
  <si>
    <t>II półrocze 2018 /
H2 2018</t>
  </si>
  <si>
    <t>31 grudnia 2018 / 
31 December 2018</t>
  </si>
  <si>
    <t>31 grudnia 2017 (dane przekształcone) / 
31 December 2017 (adjusted figures)</t>
  </si>
  <si>
    <t>II półrocze 2018 / 
H1 2018</t>
  </si>
  <si>
    <t>IV kwartał 2018 r. /
Q4 2018</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</si>
  <si>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</si>
  <si>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</si>
  <si>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</si>
  <si>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</si>
  <si>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</si>
  <si>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</si>
  <si>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</si>
  <si>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</si>
  <si>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</si>
  <si>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</si>
  <si>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</si>
  <si>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</si>
  <si>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31.5</t>
  </si>
  <si>
    <t>Prawa do użytkowania aktywów / Right-of-use asset</t>
  </si>
  <si>
    <r>
      <t xml:space="preserve">Stan na 
31 grudnia 2018 (dane przekształcone) / As at 31 December 2018
</t>
    </r>
    <r>
      <rPr>
        <i/>
        <sz val="10"/>
        <rFont val="Arial"/>
        <family val="2"/>
        <charset val="238"/>
      </rPr>
      <t>(restated figures)</t>
    </r>
  </si>
  <si>
    <t>20.1</t>
  </si>
  <si>
    <t>25.1</t>
  </si>
  <si>
    <t>15.2</t>
  </si>
  <si>
    <r>
      <t xml:space="preserve">Stan na 
1 stycznia 2018 (dane przekształcone) / As at 1 January 2018
</t>
    </r>
    <r>
      <rPr>
        <i/>
        <sz val="10"/>
        <rFont val="Arial"/>
        <family val="2"/>
        <charset val="238"/>
      </rPr>
      <t>(restated figures)</t>
    </r>
  </si>
  <si>
    <t>20.2</t>
  </si>
  <si>
    <t>25.2</t>
  </si>
  <si>
    <t>31.1</t>
  </si>
  <si>
    <t>31.3</t>
  </si>
  <si>
    <t>31.4</t>
  </si>
  <si>
    <t>I kwartał 2019 r. /
Q1 2019</t>
  </si>
  <si>
    <t xml:space="preserve">  Przychody ze sprzedaży / Sales revenue</t>
  </si>
  <si>
    <t xml:space="preserve">  Koszt sprzedanych towarów, produktów, materiałów i usług / Cost of products, goods, materials and services sold</t>
  </si>
  <si>
    <t>31 marca 2019 r. /
31 March 2019</t>
  </si>
  <si>
    <t>I kwartał 2018 r.
(dane przekształcone) /
Q1 2018
(adjusted figures)</t>
  </si>
  <si>
    <t>31 grudnia 2018 r. 
(dane przekształcone)/
31 December 2018
(adjusted figures)</t>
  </si>
  <si>
    <t>I kwartał 2018 
(dane przekształcone)/ 
Q1 2018
(adjusted figures)</t>
  </si>
  <si>
    <t>31 grudnia 2018 r.
(dane przekształcone) /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</si>
  <si>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</si>
  <si>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</si>
  <si>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</si>
  <si>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</si>
  <si>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</si>
  <si>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</si>
  <si>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</si>
  <si>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t>Utrata wartości niefinansowych aktywów trwałych/ Impairment of non-financial non-current assets</t>
  </si>
  <si>
    <t>Zysk (strata) netto/ Net profit (loss)</t>
  </si>
  <si>
    <t>Zysk (strata) netto przypadający: / Net profit (loss):</t>
  </si>
  <si>
    <t>Zysk (strata) na jedną akcję podstawowy i rozwodniony (w złotych) / Basic and diluted earnings (loss) per share (in PLN):</t>
  </si>
  <si>
    <r>
      <t xml:space="preserve">Okres 3 miesięcy zakończony  
30 czerwca 2019
</t>
    </r>
    <r>
      <rPr>
        <i/>
        <sz val="10"/>
        <rFont val="Arial"/>
        <family val="2"/>
        <charset val="238"/>
      </rPr>
      <t>(niebadane)</t>
    </r>
    <r>
      <rPr>
        <sz val="10"/>
        <rFont val="Arial"/>
        <family val="2"/>
        <charset val="238"/>
      </rPr>
      <t xml:space="preserve">
</t>
    </r>
    <r>
      <rPr>
        <i/>
        <sz val="10"/>
        <rFont val="Arial"/>
        <family val="2"/>
        <charset val="238"/>
      </rPr>
      <t xml:space="preserve"> / 3-month period ended 
30 June 2019
(unaudited)</t>
    </r>
  </si>
  <si>
    <r>
      <t xml:space="preserve">Okres 6 miesięcy zakończony  
30 czerwca 2019
</t>
    </r>
    <r>
      <rPr>
        <i/>
        <sz val="10"/>
        <rFont val="Arial"/>
        <family val="2"/>
        <charset val="238"/>
      </rPr>
      <t>(niebadane)</t>
    </r>
    <r>
      <rPr>
        <sz val="10"/>
        <rFont val="Arial"/>
        <family val="2"/>
        <charset val="238"/>
      </rPr>
      <t xml:space="preserve">
</t>
    </r>
    <r>
      <rPr>
        <i/>
        <sz val="10"/>
        <rFont val="Arial"/>
        <family val="2"/>
        <charset val="238"/>
      </rPr>
      <t xml:space="preserve"> / 6-month period ended 
30 June 2019
(unaudited)</t>
    </r>
  </si>
  <si>
    <r>
      <t xml:space="preserve">Okres 3 miesięcy zakończony  
30 czerwca 2018
</t>
    </r>
    <r>
      <rPr>
        <i/>
        <sz val="10"/>
        <rFont val="Arial"/>
        <family val="2"/>
        <charset val="238"/>
      </rPr>
      <t>(niebadane)</t>
    </r>
    <r>
      <rPr>
        <sz val="10"/>
        <rFont val="Arial"/>
        <family val="2"/>
        <charset val="238"/>
      </rPr>
      <t xml:space="preserve">
</t>
    </r>
    <r>
      <rPr>
        <i/>
        <sz val="10"/>
        <rFont val="Arial"/>
        <family val="2"/>
        <charset val="238"/>
      </rPr>
      <t xml:space="preserve"> / 3-month period ended 
30 June 2018
(unaudited)</t>
    </r>
  </si>
  <si>
    <r>
      <t xml:space="preserve">Okres 6 miesięcy zakończony  
30 czerwca 2018
</t>
    </r>
    <r>
      <rPr>
        <i/>
        <sz val="10"/>
        <rFont val="Arial"/>
        <family val="2"/>
        <charset val="238"/>
      </rPr>
      <t>(niebadane)</t>
    </r>
    <r>
      <rPr>
        <sz val="10"/>
        <rFont val="Arial"/>
        <family val="2"/>
        <charset val="238"/>
      </rPr>
      <t xml:space="preserve">
</t>
    </r>
    <r>
      <rPr>
        <i/>
        <sz val="10"/>
        <rFont val="Arial"/>
        <family val="2"/>
        <charset val="238"/>
      </rPr>
      <t xml:space="preserve"> / 6-month period ended 
30 June 2018
(unaudited)</t>
    </r>
  </si>
  <si>
    <r>
      <t xml:space="preserve">Stan na 
30 czerwca 2019
</t>
    </r>
    <r>
      <rPr>
        <i/>
        <sz val="10"/>
        <rFont val="Arial"/>
        <family val="2"/>
        <charset val="238"/>
      </rPr>
      <t xml:space="preserve">(niebadane) </t>
    </r>
    <r>
      <rPr>
        <sz val="10"/>
        <rFont val="Arial"/>
        <family val="2"/>
        <charset val="238"/>
      </rPr>
      <t xml:space="preserve">
 / As at 
31 March 2019
</t>
    </r>
    <r>
      <rPr>
        <i/>
        <sz val="10"/>
        <rFont val="Arial"/>
        <family val="2"/>
        <charset val="238"/>
      </rPr>
      <t>(unaudited)</t>
    </r>
  </si>
  <si>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</si>
  <si>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</si>
  <si>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I półrocze 2019 /
H2 2019</t>
  </si>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</sst>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s>
  <fonts count="75">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i/>
      <sz val="8"/>
      <color theme="1"/>
      <name val="Arial"/>
      <family val="2"/>
      <charset val="238"/>
    </font>
    <font>
      <vertAlign val="subscript"/>
      <sz val="10"/>
      <color theme="1"/>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s>
  <borders count="60">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s>
  <cellStyleXfs count="3">
    <xf numFmtId="0" fontId="0" fillId="0" borderId="0"/>
    <xf numFmtId="164" fontId="1" fillId="0" borderId="0" applyFont="0" applyFill="0" applyBorder="0" applyAlignment="0" applyProtection="0"/>
    <xf numFmtId="0" fontId="66" fillId="11" borderId="0" applyNumberFormat="0" applyBorder="0" applyAlignment="0" applyProtection="0"/>
  </cellStyleXfs>
  <cellXfs count="795">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5" fontId="9" fillId="2" borderId="3" xfId="0" applyNumberFormat="1" applyFont="1" applyFill="1" applyBorder="1"/>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15" fillId="2" borderId="0" xfId="0" applyFont="1" applyFill="1" applyBorder="1"/>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5" fillId="4"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3" fontId="29" fillId="2" borderId="0" xfId="0" applyNumberFormat="1" applyFont="1" applyFill="1"/>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29" fillId="2" borderId="8" xfId="0"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5" fillId="4" borderId="0" xfId="0" applyNumberFormat="1" applyFont="1" applyFill="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3" fontId="29" fillId="4" borderId="1" xfId="0" applyNumberFormat="1"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29" fillId="4" borderId="0" xfId="0" applyFont="1" applyFill="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165" fontId="29" fillId="2" borderId="4" xfId="0" applyNumberFormat="1" applyFont="1" applyFill="1" applyBorder="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2" fillId="0" borderId="0" xfId="0" applyFont="1"/>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3" fillId="0" borderId="33" xfId="0" applyFont="1" applyBorder="1" applyAlignment="1">
      <alignment horizontal="left" vertical="center" wrapText="1"/>
    </xf>
    <xf numFmtId="0" fontId="53" fillId="0" borderId="33" xfId="0" applyFont="1" applyBorder="1" applyAlignment="1">
      <alignment horizontal="center" vertical="center" wrapText="1"/>
    </xf>
    <xf numFmtId="2" fontId="54" fillId="0" borderId="33" xfId="0" applyNumberFormat="1" applyFont="1" applyFill="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0" fontId="55" fillId="0" borderId="35" xfId="0" applyFont="1" applyBorder="1" applyAlignment="1">
      <alignment horizontal="left" vertical="center" wrapText="1" indent="2"/>
    </xf>
    <xf numFmtId="0" fontId="55" fillId="0" borderId="35" xfId="0" applyFont="1" applyBorder="1" applyAlignment="1">
      <alignment horizontal="center" vertical="center" wrapText="1"/>
    </xf>
    <xf numFmtId="2" fontId="56" fillId="0" borderId="37" xfId="0" applyNumberFormat="1" applyFont="1" applyBorder="1" applyAlignment="1">
      <alignment horizontal="center" vertical="center" wrapText="1"/>
    </xf>
    <xf numFmtId="2" fontId="57" fillId="0" borderId="37" xfId="0" applyNumberFormat="1" applyFont="1" applyBorder="1" applyAlignment="1">
      <alignment horizontal="center" vertical="center" wrapText="1"/>
    </xf>
    <xf numFmtId="3" fontId="54" fillId="0" borderId="32" xfId="0"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9" borderId="32" xfId="0" applyFont="1" applyFill="1" applyBorder="1" applyAlignment="1">
      <alignment horizontal="center" vertical="center" wrapText="1"/>
    </xf>
    <xf numFmtId="4" fontId="54"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0" fontId="59" fillId="0" borderId="35" xfId="0" applyFont="1" applyBorder="1" applyAlignment="1">
      <alignment horizontal="left" vertical="center" wrapText="1" indent="2"/>
    </xf>
    <xf numFmtId="4" fontId="58" fillId="0" borderId="35"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0" fontId="26" fillId="0" borderId="0" xfId="0" applyFont="1" applyAlignment="1"/>
    <xf numFmtId="0" fontId="26" fillId="0" borderId="21" xfId="0" applyFont="1" applyBorder="1" applyAlignment="1"/>
    <xf numFmtId="0" fontId="0" fillId="0" borderId="5" xfId="0" applyBorder="1" applyAlignment="1"/>
    <xf numFmtId="0" fontId="0" fillId="0" borderId="20" xfId="0" applyBorder="1" applyAlignment="1"/>
    <xf numFmtId="0" fontId="0" fillId="0" borderId="0" xfId="0" applyFont="1" applyAlignment="1"/>
    <xf numFmtId="0" fontId="0" fillId="0" borderId="21" xfId="0" applyFont="1" applyBorder="1" applyAlignment="1"/>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0" fontId="61"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2" fontId="58" fillId="0" borderId="34" xfId="0" applyNumberFormat="1" applyFont="1" applyFill="1" applyBorder="1" applyAlignment="1">
      <alignment horizontal="center" vertical="center" wrapText="1"/>
    </xf>
    <xf numFmtId="2" fontId="58" fillId="0" borderId="35" xfId="0" applyNumberFormat="1"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2" fontId="55" fillId="0" borderId="49" xfId="0"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41" xfId="0" applyNumberFormat="1" applyFont="1" applyFill="1" applyBorder="1" applyAlignment="1">
      <alignment horizontal="center" vertical="center" wrapText="1"/>
    </xf>
    <xf numFmtId="2" fontId="55" fillId="2" borderId="46" xfId="0" applyNumberFormat="1" applyFont="1" applyFill="1" applyBorder="1" applyAlignment="1">
      <alignment horizontal="center" vertical="center" wrapText="1"/>
    </xf>
    <xf numFmtId="2" fontId="55" fillId="2" borderId="49"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3" fillId="0" borderId="40"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39" xfId="0" applyNumberFormat="1" applyFont="1" applyFill="1" applyBorder="1" applyAlignment="1">
      <alignment horizontal="center" vertical="center" wrapText="1"/>
    </xf>
    <xf numFmtId="3" fontId="53" fillId="0" borderId="41" xfId="0" applyNumberFormat="1" applyFont="1" applyFill="1" applyBorder="1" applyAlignment="1">
      <alignment horizontal="center" vertical="center" wrapText="1"/>
    </xf>
    <xf numFmtId="4" fontId="53" fillId="0" borderId="43"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9"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50" xfId="0"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3"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2" fontId="55" fillId="0" borderId="53" xfId="0" applyNumberFormat="1" applyFont="1" applyFill="1" applyBorder="1" applyAlignment="1">
      <alignment horizontal="center" vertical="center" wrapText="1"/>
    </xf>
    <xf numFmtId="3" fontId="53" fillId="0" borderId="50" xfId="0" applyNumberFormat="1" applyFont="1" applyFill="1" applyBorder="1" applyAlignment="1">
      <alignment horizontal="center" vertical="center" wrapText="1"/>
    </xf>
    <xf numFmtId="4" fontId="53"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4" fontId="55" fillId="0" borderId="53"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2"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1"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65" fontId="9" fillId="2" borderId="0" xfId="0" applyNumberFormat="1" applyFont="1" applyFill="1" applyAlignment="1">
      <alignment horizontal="right"/>
    </xf>
    <xf numFmtId="0" fontId="10" fillId="2" borderId="0" xfId="0" applyFont="1" applyFill="1" applyBorder="1" applyAlignment="1"/>
    <xf numFmtId="0" fontId="10" fillId="2" borderId="21" xfId="0" applyFont="1" applyFill="1" applyBorder="1" applyAlignment="1"/>
    <xf numFmtId="0" fontId="0" fillId="2" borderId="5" xfId="0" applyFill="1" applyBorder="1" applyAlignment="1"/>
    <xf numFmtId="0" fontId="0" fillId="2" borderId="21" xfId="0" applyFill="1" applyBorder="1" applyAlignment="1"/>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1"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0" xfId="0" applyFill="1" applyAlignment="1"/>
    <xf numFmtId="0" fontId="0" fillId="2" borderId="21" xfId="0" applyFont="1" applyFill="1" applyBorder="1" applyAlignment="1"/>
    <xf numFmtId="0" fontId="0" fillId="2" borderId="5" xfId="0" applyFill="1" applyBorder="1" applyAlignment="1">
      <alignment wrapText="1"/>
    </xf>
    <xf numFmtId="0" fontId="26" fillId="2" borderId="0" xfId="0" applyFont="1" applyFill="1" applyAlignment="1"/>
    <xf numFmtId="0" fontId="0" fillId="2" borderId="21" xfId="0" applyFont="1"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3" fillId="0" borderId="51"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3" xfId="0" applyFont="1" applyBorder="1" applyAlignment="1">
      <alignment horizontal="center" vertical="center" wrapText="1"/>
    </xf>
    <xf numFmtId="2" fontId="53" fillId="0" borderId="50" xfId="0" applyNumberFormat="1" applyFont="1" applyBorder="1" applyAlignment="1">
      <alignment horizontal="center" vertical="center" wrapText="1"/>
    </xf>
    <xf numFmtId="2" fontId="53"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55" fillId="0" borderId="53" xfId="0" applyNumberFormat="1" applyFont="1" applyBorder="1" applyAlignment="1">
      <alignment horizontal="center" vertical="center" wrapText="1"/>
    </xf>
    <xf numFmtId="2" fontId="0" fillId="0" borderId="0" xfId="0" applyNumberFormat="1"/>
    <xf numFmtId="165" fontId="10" fillId="2" borderId="25"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165" fontId="9" fillId="2" borderId="8" xfId="1" applyNumberFormat="1" applyFont="1" applyFill="1" applyBorder="1"/>
    <xf numFmtId="165" fontId="9" fillId="2" borderId="8" xfId="1" applyNumberFormat="1" applyFont="1" applyFill="1" applyBorder="1" applyAlignment="1">
      <alignment horizontal="right"/>
    </xf>
    <xf numFmtId="0" fontId="67" fillId="2" borderId="0" xfId="0" applyFont="1" applyFill="1" applyBorder="1" applyAlignment="1">
      <alignment horizontal="left" vertical="center" indent="1"/>
    </xf>
    <xf numFmtId="0" fontId="68"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8"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9"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70" fillId="2" borderId="1" xfId="0" applyFont="1" applyFill="1" applyBorder="1" applyAlignment="1">
      <alignment vertical="center"/>
    </xf>
    <xf numFmtId="0" fontId="69" fillId="2" borderId="1" xfId="0" applyFont="1" applyFill="1" applyBorder="1" applyAlignment="1">
      <alignment vertical="center"/>
    </xf>
    <xf numFmtId="0" fontId="68"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1" fillId="2" borderId="0" xfId="0" applyFont="1" applyFill="1"/>
    <xf numFmtId="0" fontId="72"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8" fillId="2" borderId="0" xfId="0" applyFont="1" applyFill="1" applyBorder="1"/>
    <xf numFmtId="4" fontId="9" fillId="0" borderId="4" xfId="0" applyNumberFormat="1" applyFont="1" applyFill="1" applyBorder="1"/>
    <xf numFmtId="4" fontId="68" fillId="0" borderId="4" xfId="2" applyNumberFormat="1" applyFont="1" applyFill="1" applyBorder="1"/>
    <xf numFmtId="171" fontId="10" fillId="2" borderId="0" xfId="0" applyNumberFormat="1" applyFont="1" applyFill="1" applyAlignment="1" applyProtection="1">
      <alignment horizontal="right" vertical="center"/>
      <protection locked="0"/>
    </xf>
    <xf numFmtId="0" fontId="73" fillId="2" borderId="0" xfId="0" applyFont="1" applyFill="1" applyBorder="1" applyAlignment="1">
      <alignment horizontal="left" vertical="center" indent="2"/>
    </xf>
    <xf numFmtId="0" fontId="10" fillId="2" borderId="0" xfId="0" quotePrefix="1" applyFont="1" applyFill="1" applyAlignment="1">
      <alignment horizontal="left" vertical="center" wrapText="1"/>
    </xf>
    <xf numFmtId="0" fontId="0" fillId="2" borderId="0" xfId="0" applyFill="1" applyBorder="1" applyAlignment="1">
      <alignment vertical="center"/>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3" fontId="23" fillId="2" borderId="0" xfId="0" applyNumberFormat="1" applyFont="1" applyFill="1" applyBorder="1"/>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6" xfId="0"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3"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2" fontId="55" fillId="0" borderId="59" xfId="0" applyNumberFormat="1" applyFont="1" applyFill="1" applyBorder="1" applyAlignment="1">
      <alignment horizontal="center" vertical="center" wrapText="1"/>
    </xf>
    <xf numFmtId="4" fontId="53"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55" fillId="0" borderId="59" xfId="0" applyNumberFormat="1" applyFont="1" applyFill="1" applyBorder="1" applyAlignment="1">
      <alignment horizontal="center" vertical="center" wrapText="1"/>
    </xf>
    <xf numFmtId="4" fontId="23" fillId="0" borderId="4" xfId="0" applyNumberFormat="1" applyFont="1" applyFill="1" applyBorder="1"/>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165" fontId="10" fillId="2" borderId="0" xfId="0" applyNumberFormat="1" applyFont="1" applyFill="1" applyAlignment="1">
      <alignment horizontal="right" vertical="center"/>
    </xf>
    <xf numFmtId="0" fontId="0" fillId="0" borderId="0" xfId="0" applyAlignment="1"/>
    <xf numFmtId="165" fontId="35" fillId="2" borderId="0" xfId="0" applyNumberFormat="1" applyFont="1" applyFill="1" applyAlignment="1">
      <alignment horizontal="right" wrapText="1"/>
    </xf>
    <xf numFmtId="0" fontId="0" fillId="0" borderId="0" xfId="0" applyAlignment="1">
      <alignment horizontal="right"/>
    </xf>
    <xf numFmtId="3" fontId="10" fillId="2" borderId="0" xfId="0" applyNumberFormat="1" applyFont="1" applyFill="1" applyAlignment="1">
      <alignment vertical="center"/>
    </xf>
    <xf numFmtId="0" fontId="0" fillId="0" borderId="0" xfId="0" applyAlignment="1">
      <alignment vertical="center"/>
    </xf>
    <xf numFmtId="0" fontId="0" fillId="2" borderId="0" xfId="0" applyFill="1" applyAlignment="1">
      <alignment vertical="center"/>
    </xf>
    <xf numFmtId="3" fontId="9" fillId="2" borderId="0" xfId="0" applyNumberFormat="1" applyFont="1" applyFill="1" applyAlignment="1">
      <alignment horizontal="right" vertical="center"/>
    </xf>
    <xf numFmtId="0" fontId="26" fillId="2" borderId="0" xfId="0" applyFont="1" applyFill="1" applyAlignment="1">
      <alignment horizontal="right" vertical="center"/>
    </xf>
    <xf numFmtId="0" fontId="0" fillId="2" borderId="0" xfId="0" applyFill="1" applyAlignment="1">
      <alignment horizontal="right"/>
    </xf>
    <xf numFmtId="165" fontId="9" fillId="2" borderId="0" xfId="0" applyNumberFormat="1" applyFont="1" applyFill="1" applyAlignment="1">
      <alignment horizontal="right"/>
    </xf>
    <xf numFmtId="0" fontId="26" fillId="0" borderId="0" xfId="0" applyFont="1" applyAlignment="1"/>
    <xf numFmtId="165" fontId="9" fillId="0" borderId="0" xfId="0" applyNumberFormat="1" applyFont="1" applyFill="1" applyBorder="1" applyAlignment="1">
      <alignment horizontal="center" vertical="center"/>
    </xf>
    <xf numFmtId="0" fontId="26" fillId="0" borderId="0" xfId="0" applyFont="1" applyFill="1" applyAlignment="1">
      <alignment horizontal="center" vertical="center"/>
    </xf>
    <xf numFmtId="165" fontId="10" fillId="2" borderId="0" xfId="0" applyNumberFormat="1" applyFont="1" applyFill="1" applyBorder="1" applyAlignment="1">
      <alignment horizontal="right" vertical="center"/>
    </xf>
    <xf numFmtId="0" fontId="29" fillId="2" borderId="0" xfId="0" applyFont="1" applyFill="1" applyAlignment="1">
      <alignment horizontal="right" vertical="center"/>
    </xf>
    <xf numFmtId="3" fontId="10" fillId="2" borderId="0" xfId="0" applyNumberFormat="1" applyFont="1" applyFill="1" applyAlignment="1">
      <alignment horizontal="right" vertical="center"/>
    </xf>
    <xf numFmtId="0" fontId="0" fillId="0" borderId="0" xfId="0" applyAlignment="1">
      <alignment horizontal="right" vertical="center"/>
    </xf>
    <xf numFmtId="0" fontId="0" fillId="2" borderId="0" xfId="0" applyFill="1" applyAlignment="1">
      <alignment horizontal="right" vertical="center"/>
    </xf>
    <xf numFmtId="165" fontId="9" fillId="0" borderId="0" xfId="0" applyNumberFormat="1" applyFont="1" applyFill="1" applyBorder="1" applyAlignment="1">
      <alignment horizontal="right" vertical="center"/>
    </xf>
    <xf numFmtId="0" fontId="26" fillId="0" borderId="0" xfId="0"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xf numFmtId="0" fontId="0" fillId="0" borderId="0" xfId="0" applyFont="1" applyAlignment="1"/>
    <xf numFmtId="0" fontId="0" fillId="0" borderId="21" xfId="0" applyFont="1" applyBorder="1" applyAlignment="1"/>
    <xf numFmtId="0" fontId="29" fillId="2" borderId="0" xfId="0" applyFont="1" applyFill="1" applyAlignment="1">
      <alignment horizontal="left" wrapText="1"/>
    </xf>
    <xf numFmtId="0" fontId="29" fillId="2" borderId="0" xfId="0" applyFont="1" applyFill="1" applyAlignment="1">
      <alignment horizontal="left"/>
    </xf>
    <xf numFmtId="0" fontId="27" fillId="4" borderId="0" xfId="0" applyFont="1" applyFill="1" applyBorder="1" applyAlignment="1">
      <alignment horizontal="left" vertical="center"/>
    </xf>
    <xf numFmtId="0" fontId="10" fillId="2" borderId="0" xfId="0" applyFont="1" applyFill="1" applyBorder="1" applyAlignment="1">
      <alignment vertical="center"/>
    </xf>
    <xf numFmtId="0" fontId="0" fillId="0" borderId="21" xfId="0" applyBorder="1" applyAlignment="1"/>
    <xf numFmtId="0" fontId="9" fillId="2" borderId="5" xfId="0" applyFont="1" applyFill="1" applyBorder="1" applyAlignment="1"/>
    <xf numFmtId="0" fontId="0" fillId="0" borderId="5" xfId="0" applyBorder="1" applyAlignment="1"/>
    <xf numFmtId="0" fontId="0" fillId="0" borderId="20" xfId="0" applyBorder="1" applyAlignment="1"/>
    <xf numFmtId="0" fontId="9" fillId="2" borderId="0" xfId="0" applyFont="1" applyFill="1" applyBorder="1" applyAlignment="1"/>
    <xf numFmtId="0" fontId="26" fillId="0" borderId="21" xfId="0" applyFont="1" applyBorder="1" applyAlignment="1"/>
    <xf numFmtId="0" fontId="37" fillId="2" borderId="4" xfId="0" applyFont="1" applyFill="1" applyBorder="1" applyAlignment="1"/>
    <xf numFmtId="0" fontId="36" fillId="0" borderId="4" xfId="0" applyFont="1" applyBorder="1" applyAlignment="1"/>
    <xf numFmtId="0" fontId="36" fillId="0" borderId="22" xfId="0" applyFont="1" applyBorder="1" applyAlignment="1"/>
    <xf numFmtId="0" fontId="10" fillId="2" borderId="21" xfId="0" applyFont="1" applyFill="1" applyBorder="1" applyAlignment="1"/>
    <xf numFmtId="3" fontId="9" fillId="0" borderId="0" xfId="0" applyNumberFormat="1" applyFont="1" applyFill="1" applyAlignment="1">
      <alignment horizontal="right" vertical="center"/>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171" fontId="10" fillId="2" borderId="0" xfId="0" applyNumberFormat="1" applyFont="1" applyFill="1" applyAlignment="1" applyProtection="1">
      <alignment horizontal="right" vertical="center"/>
      <protection locked="0"/>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0" fontId="10" fillId="2" borderId="0" xfId="0" applyFont="1" applyFill="1" applyBorder="1" applyAlignment="1">
      <alignment horizontal="left" vertical="center" wrapText="1"/>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0" fontId="33" fillId="2" borderId="0" xfId="0" applyFont="1" applyFill="1" applyAlignment="1">
      <alignment vertical="center"/>
    </xf>
    <xf numFmtId="0" fontId="9" fillId="2" borderId="0" xfId="0" applyFont="1" applyFill="1" applyBorder="1" applyAlignment="1">
      <alignment horizontal="left" vertical="center" wrapText="1"/>
    </xf>
    <xf numFmtId="0" fontId="0" fillId="0" borderId="0" xfId="0" applyBorder="1" applyAlignment="1"/>
    <xf numFmtId="0" fontId="33" fillId="2" borderId="5" xfId="0" applyFont="1" applyFill="1" applyBorder="1" applyAlignment="1">
      <alignment vertical="center"/>
    </xf>
    <xf numFmtId="171" fontId="35" fillId="0" borderId="0" xfId="0" applyNumberFormat="1" applyFont="1" applyFill="1" applyAlignment="1" applyProtection="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171" fontId="15" fillId="2" borderId="0" xfId="0" applyNumberFormat="1" applyFont="1" applyFill="1" applyAlignment="1" applyProtection="1">
      <alignment horizontal="right" vertical="center"/>
    </xf>
    <xf numFmtId="171" fontId="35" fillId="2" borderId="0" xfId="0" applyNumberFormat="1" applyFont="1" applyFill="1" applyAlignment="1">
      <alignment horizontal="right" vertical="center" wrapText="1"/>
    </xf>
    <xf numFmtId="171" fontId="35" fillId="2" borderId="0" xfId="0" applyNumberFormat="1" applyFont="1" applyFill="1" applyAlignment="1"/>
    <xf numFmtId="0" fontId="26" fillId="2" borderId="0" xfId="0" applyFont="1" applyFill="1" applyAlignment="1"/>
    <xf numFmtId="0" fontId="0" fillId="2" borderId="0" xfId="0" applyFill="1" applyAlignment="1"/>
    <xf numFmtId="171" fontId="65"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35" fillId="2" borderId="0" xfId="0" applyNumberFormat="1" applyFont="1" applyFill="1" applyAlignment="1">
      <alignment horizontal="right" vertical="center"/>
    </xf>
    <xf numFmtId="171" fontId="15" fillId="2" borderId="0" xfId="0" applyNumberFormat="1" applyFont="1" applyFill="1" applyAlignment="1" applyProtection="1">
      <alignment vertical="center"/>
    </xf>
    <xf numFmtId="171" fontId="9" fillId="0" borderId="0" xfId="0" applyNumberFormat="1" applyFont="1" applyFill="1" applyAlignment="1" applyProtection="1">
      <alignment horizontal="right" vertical="center"/>
      <protection locked="0"/>
    </xf>
    <xf numFmtId="165" fontId="9" fillId="2" borderId="0" xfId="0" applyNumberFormat="1" applyFont="1" applyFill="1" applyAlignment="1"/>
    <xf numFmtId="165" fontId="9" fillId="2" borderId="29" xfId="0" applyNumberFormat="1" applyFont="1" applyFill="1" applyBorder="1" applyAlignment="1">
      <alignment horizontal="right"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63" fillId="2" borderId="0" xfId="0" applyFont="1" applyFill="1" applyBorder="1" applyAlignment="1">
      <alignment wrapText="1"/>
    </xf>
    <xf numFmtId="0" fontId="63" fillId="0" borderId="0" xfId="0" applyFont="1" applyAlignment="1"/>
    <xf numFmtId="165" fontId="29" fillId="2" borderId="0" xfId="0" applyNumberFormat="1" applyFont="1" applyFill="1" applyAlignment="1">
      <alignmen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10" fillId="2" borderId="0" xfId="0" applyNumberFormat="1" applyFont="1" applyFill="1" applyBorder="1" applyAlignment="1">
      <alignment vertical="center"/>
    </xf>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165" fontId="9" fillId="2" borderId="29" xfId="0" applyNumberFormat="1" applyFont="1" applyFill="1" applyBorder="1" applyAlignment="1">
      <alignment horizontal="center"/>
    </xf>
    <xf numFmtId="165" fontId="24" fillId="2" borderId="54" xfId="0" applyNumberFormat="1" applyFont="1" applyFill="1" applyBorder="1" applyAlignment="1">
      <alignment horizontal="center"/>
    </xf>
    <xf numFmtId="0" fontId="64" fillId="0" borderId="55" xfId="0" applyFont="1" applyBorder="1" applyAlignment="1">
      <alignment horizontal="center"/>
    </xf>
    <xf numFmtId="0" fontId="0" fillId="2" borderId="0" xfId="0" applyFill="1" applyBorder="1" applyAlignment="1">
      <alignment vertical="center"/>
    </xf>
    <xf numFmtId="0" fontId="0" fillId="2" borderId="21" xfId="0" applyFill="1" applyBorder="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2" borderId="5" xfId="0" applyFill="1" applyBorder="1" applyAlignment="1"/>
    <xf numFmtId="0" fontId="0" fillId="2" borderId="20" xfId="0" applyFill="1" applyBorder="1" applyAlignment="1"/>
    <xf numFmtId="0" fontId="33" fillId="2" borderId="0" xfId="0" applyFont="1" applyFill="1"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Border="1" applyAlignment="1"/>
    <xf numFmtId="0" fontId="0" fillId="2" borderId="21" xfId="0" applyFill="1" applyBorder="1" applyAlignment="1"/>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165" fontId="31" fillId="2" borderId="0" xfId="0" applyNumberFormat="1" applyFont="1" applyFill="1" applyAlignment="1"/>
    <xf numFmtId="0" fontId="64" fillId="2" borderId="0" xfId="0" applyFont="1" applyFill="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B31"/>
  <sheetViews>
    <sheetView tabSelected="1" workbookViewId="0">
      <selection activeCell="D2" sqref="D2"/>
    </sheetView>
  </sheetViews>
  <sheetFormatPr defaultColWidth="9.140625" defaultRowHeight="15"/>
  <cols>
    <col min="1" max="1" width="56" style="10" customWidth="1"/>
    <col min="2" max="2" width="19.42578125" style="10" customWidth="1"/>
    <col min="3" max="3" width="2.140625" style="10" customWidth="1"/>
    <col min="4" max="4" width="13.7109375" style="88" customWidth="1"/>
    <col min="5" max="5" width="2" style="306" customWidth="1"/>
    <col min="6" max="6" width="13.7109375" style="602" customWidth="1"/>
    <col min="7" max="7" width="3.28515625" style="10" customWidth="1"/>
    <col min="8" max="8" width="13.7109375" style="88" customWidth="1"/>
    <col min="9" max="9" width="2.140625" style="306" customWidth="1"/>
    <col min="10" max="10" width="13.7109375" style="602" customWidth="1"/>
    <col min="11" max="11" width="4.28515625" style="10" customWidth="1"/>
    <col min="12" max="12" width="13.7109375" style="88" customWidth="1"/>
    <col min="13" max="13" width="2.5703125" style="306" customWidth="1"/>
    <col min="14" max="14" width="13.7109375" style="602" customWidth="1"/>
    <col min="15" max="15" width="8.42578125" style="602" customWidth="1"/>
    <col min="16" max="16" width="13.7109375" style="602" customWidth="1"/>
    <col min="17" max="17" width="2.7109375" style="602" customWidth="1"/>
    <col min="18" max="18" width="13.7109375" style="602" customWidth="1"/>
    <col min="19" max="19" width="3.42578125" style="602" customWidth="1"/>
    <col min="20" max="20" width="13.7109375" style="602" customWidth="1"/>
    <col min="21" max="21" width="2.7109375" style="602" customWidth="1"/>
    <col min="22" max="22" width="13.7109375" style="602" customWidth="1"/>
    <col min="23" max="23" width="2.140625" style="602" customWidth="1"/>
    <col min="24" max="24" width="13.7109375" style="602" customWidth="1"/>
    <col min="25" max="25" width="2.7109375" style="602" customWidth="1"/>
    <col min="26" max="26" width="13.7109375" style="602" customWidth="1"/>
    <col min="27" max="27" width="3.42578125" style="602" customWidth="1"/>
    <col min="28" max="28" width="13.7109375" style="602" customWidth="1"/>
    <col min="29" max="29" width="2.7109375" style="602" customWidth="1"/>
    <col min="30" max="30" width="13.7109375" style="602" customWidth="1"/>
    <col min="31" max="31" width="8.7109375" style="10" customWidth="1"/>
    <col min="32" max="32" width="13.7109375" style="306" customWidth="1"/>
    <col min="33" max="33" width="2.7109375" style="306" customWidth="1"/>
    <col min="34" max="34" width="13.7109375" style="306" customWidth="1"/>
    <col min="35" max="35" width="2.140625" style="306" customWidth="1"/>
    <col min="36" max="36" width="13.7109375" style="306" customWidth="1"/>
    <col min="37" max="37" width="2.7109375" style="306" customWidth="1"/>
    <col min="38" max="38" width="13.7109375" style="306" customWidth="1"/>
    <col min="39" max="39" width="6.5703125" style="306" customWidth="1"/>
    <col min="40" max="40" width="13.7109375" style="306" customWidth="1"/>
    <col min="41" max="41" width="2.5703125" style="306" customWidth="1"/>
    <col min="42" max="42" width="13.7109375" style="306" customWidth="1"/>
    <col min="43" max="43" width="10.7109375" style="10" customWidth="1"/>
    <col min="44" max="44" width="12.7109375" style="10" customWidth="1"/>
    <col min="45" max="45" width="2.7109375" style="10" customWidth="1"/>
    <col min="46" max="46" width="12.7109375" style="10" customWidth="1"/>
    <col min="47" max="47" width="2.7109375" style="10" customWidth="1"/>
    <col min="48" max="48" width="13.7109375" style="10" customWidth="1"/>
    <col min="49" max="49" width="2.7109375" style="10" customWidth="1"/>
    <col min="50" max="50" width="13.7109375" style="10" customWidth="1"/>
    <col min="51" max="51" width="9.5703125" style="10" customWidth="1"/>
    <col min="52" max="52" width="13.7109375" style="10" customWidth="1"/>
    <col min="53" max="53" width="2.7109375" style="10" customWidth="1"/>
    <col min="54" max="54" width="13.7109375" style="10" customWidth="1"/>
    <col min="55" max="55" width="2.7109375" style="10" customWidth="1"/>
    <col min="56" max="56" width="12.7109375" style="10" customWidth="1"/>
    <col min="57" max="57" width="2.7109375" style="10" customWidth="1"/>
    <col min="58" max="58" width="12.7109375" style="10" customWidth="1"/>
    <col min="59" max="59" width="5.85546875" style="10" customWidth="1"/>
    <col min="60" max="60" width="13.7109375" style="10" customWidth="1"/>
    <col min="61" max="61" width="2.7109375" style="10" customWidth="1"/>
    <col min="62" max="62" width="13.7109375" style="10" customWidth="1"/>
    <col min="63" max="63" width="2.7109375" style="10" customWidth="1"/>
    <col min="64" max="64" width="13.7109375" style="10" customWidth="1"/>
    <col min="65" max="65" width="2.7109375" style="10" customWidth="1"/>
    <col min="66" max="66" width="13.7109375" style="10" customWidth="1"/>
    <col min="67" max="67" width="6.85546875" style="10" customWidth="1"/>
    <col min="68" max="68" width="13.7109375" style="10" customWidth="1"/>
    <col min="69" max="69" width="2.7109375" style="10" customWidth="1"/>
    <col min="70" max="70" width="13.7109375" style="10" customWidth="1"/>
    <col min="71" max="71" width="2.7109375" style="10" customWidth="1"/>
    <col min="72" max="72" width="13.7109375" style="10" customWidth="1"/>
    <col min="73" max="73" width="2.7109375" style="10" customWidth="1"/>
    <col min="74" max="74" width="13.7109375" style="10" customWidth="1"/>
    <col min="75" max="76" width="2.7109375" style="10" customWidth="1"/>
    <col min="77" max="77" width="10.7109375" style="10" customWidth="1"/>
    <col min="78" max="78" width="2.7109375" style="10" customWidth="1"/>
    <col min="79" max="80" width="10.7109375" style="10" customWidth="1"/>
    <col min="81" max="81" width="13.140625" style="10" customWidth="1"/>
    <col min="82" max="82" width="2.7109375" style="10" customWidth="1"/>
    <col min="83" max="83" width="12" style="10" customWidth="1"/>
    <col min="84" max="85" width="2.7109375" style="10" customWidth="1"/>
    <col min="86" max="86" width="10.7109375" style="10" customWidth="1"/>
    <col min="87" max="87" width="2.7109375" style="10" customWidth="1"/>
    <col min="88" max="88" width="10.7109375" style="10" customWidth="1"/>
    <col min="89" max="90" width="3" style="10" customWidth="1"/>
    <col min="91" max="91" width="12.85546875" style="10" customWidth="1"/>
    <col min="92" max="92" width="2.7109375" style="10" customWidth="1"/>
    <col min="93" max="93" width="12.5703125" style="10" customWidth="1"/>
    <col min="94" max="95" width="2.7109375" style="10" customWidth="1"/>
    <col min="96" max="96" width="9.140625" style="10"/>
    <col min="97" max="97" width="2.7109375" style="10" customWidth="1"/>
    <col min="98" max="98" width="9.140625" style="10"/>
    <col min="99" max="99" width="4.28515625" style="10" customWidth="1"/>
    <col min="100" max="100" width="9.140625" style="10"/>
    <col min="101" max="101" width="2.7109375" style="10" customWidth="1"/>
    <col min="102" max="102" width="9.140625" style="10"/>
    <col min="103" max="103" width="4.85546875" style="10" customWidth="1"/>
    <col min="104" max="104" width="10.28515625" style="10" bestFit="1" customWidth="1"/>
    <col min="105" max="105" width="2.7109375" style="10" customWidth="1"/>
    <col min="106" max="106" width="10.140625" style="10" bestFit="1" customWidth="1"/>
    <col min="107" max="107" width="2.7109375" style="10" customWidth="1"/>
    <col min="108" max="108" width="10.28515625" style="10" bestFit="1" customWidth="1"/>
    <col min="109" max="109" width="2.7109375" style="10" customWidth="1"/>
    <col min="110" max="110" width="9.140625" style="10"/>
    <col min="111" max="111" width="2.7109375" style="10" customWidth="1"/>
    <col min="112" max="112" width="10.140625" style="10" bestFit="1" customWidth="1"/>
    <col min="113" max="113" width="2.7109375" style="10" customWidth="1"/>
    <col min="114" max="114" width="10.140625" style="10" bestFit="1" customWidth="1"/>
    <col min="115" max="115" width="2.7109375" style="10" customWidth="1"/>
    <col min="116" max="116" width="9.140625" style="10"/>
    <col min="117" max="117" width="2.7109375" style="10" customWidth="1"/>
    <col min="118" max="118" width="9.140625" style="10"/>
    <col min="119" max="119" width="2.7109375" style="10" customWidth="1"/>
    <col min="120" max="120" width="9.140625" style="10"/>
    <col min="121" max="121" width="2.7109375" style="10" customWidth="1"/>
    <col min="122" max="122" width="9.140625" style="10"/>
    <col min="123" max="123" width="2.7109375" style="10" customWidth="1"/>
    <col min="124" max="124" width="9.140625" style="10"/>
    <col min="125" max="125" width="2.7109375" style="10" customWidth="1"/>
    <col min="126" max="126" width="9.140625" style="10"/>
    <col min="127" max="127" width="2.7109375" style="10" customWidth="1"/>
    <col min="128" max="128" width="9.140625" style="10"/>
    <col min="129" max="129" width="2.7109375" style="10" customWidth="1"/>
    <col min="130" max="130" width="9.140625" style="10"/>
    <col min="131" max="131" width="2.7109375" style="10" customWidth="1"/>
    <col min="132" max="132" width="10.140625" style="10" bestFit="1" customWidth="1"/>
    <col min="133" max="133" width="2.7109375" style="10" customWidth="1"/>
    <col min="134" max="134" width="10.140625" style="10" bestFit="1" customWidth="1"/>
    <col min="135" max="135" width="2.7109375" style="10" customWidth="1"/>
    <col min="136" max="136" width="9.140625" style="10"/>
    <col min="137" max="137" width="2.7109375" style="10" customWidth="1"/>
    <col min="138" max="138" width="9.140625" style="10"/>
    <col min="139" max="139" width="2.7109375" style="10" customWidth="1"/>
    <col min="140" max="140" width="10.140625" style="10" bestFit="1" customWidth="1"/>
    <col min="141" max="141" width="2.7109375" style="10" customWidth="1"/>
    <col min="142" max="142" width="10.140625" style="10" bestFit="1" customWidth="1"/>
    <col min="143" max="143" width="2.7109375" style="10" customWidth="1"/>
    <col min="144" max="144" width="9.140625" style="10"/>
    <col min="145" max="145" width="2.7109375" style="10" customWidth="1"/>
    <col min="146" max="146" width="9.140625" style="10"/>
    <col min="147" max="147" width="2.7109375" style="10" customWidth="1"/>
    <col min="148" max="148" width="9.140625" style="10"/>
    <col min="149" max="149" width="2.7109375" style="10" customWidth="1"/>
    <col min="150" max="150" width="9.140625" style="10"/>
    <col min="151" max="151" width="2.7109375" style="10" customWidth="1"/>
    <col min="152" max="152" width="9.140625" style="10"/>
    <col min="153" max="153" width="2.7109375" style="10" customWidth="1"/>
    <col min="154" max="154" width="9.140625" style="10"/>
    <col min="155" max="155" width="2.7109375" style="10" customWidth="1"/>
    <col min="156" max="156" width="9.140625" style="10"/>
    <col min="157" max="157" width="2.7109375" style="10" customWidth="1"/>
    <col min="158" max="16384" width="9.140625" style="10"/>
  </cols>
  <sheetData>
    <row r="1" spans="1:236" ht="20.25">
      <c r="A1" s="1" t="s">
        <v>481</v>
      </c>
      <c r="B1" s="2"/>
      <c r="C1" s="3"/>
      <c r="D1" s="133"/>
      <c r="E1" s="336"/>
      <c r="F1" s="618"/>
      <c r="G1" s="3"/>
      <c r="H1" s="133"/>
      <c r="I1" s="336"/>
      <c r="J1" s="618"/>
      <c r="K1" s="3"/>
      <c r="L1" s="133"/>
      <c r="M1" s="336"/>
      <c r="N1" s="618"/>
      <c r="O1" s="618"/>
      <c r="P1" s="618"/>
      <c r="Q1" s="639"/>
      <c r="R1" s="618"/>
      <c r="S1" s="618"/>
      <c r="T1" s="618"/>
      <c r="U1" s="639"/>
      <c r="V1" s="618"/>
      <c r="W1" s="618"/>
      <c r="X1" s="618"/>
      <c r="Y1" s="639"/>
      <c r="Z1" s="618"/>
      <c r="AA1" s="618"/>
      <c r="AB1" s="618"/>
      <c r="AC1" s="639"/>
      <c r="AD1" s="618"/>
      <c r="AE1" s="3"/>
      <c r="AF1" s="303"/>
      <c r="AG1" s="336"/>
      <c r="AH1" s="303"/>
      <c r="AI1" s="303"/>
      <c r="AJ1" s="303"/>
      <c r="AK1" s="336"/>
      <c r="AL1" s="303"/>
      <c r="AM1" s="303"/>
      <c r="AN1" s="303"/>
      <c r="AO1" s="336"/>
      <c r="AP1" s="303"/>
      <c r="AQ1" s="3"/>
      <c r="AR1" s="3"/>
      <c r="AS1" s="4"/>
      <c r="AT1" s="3"/>
      <c r="AU1" s="3"/>
      <c r="AV1" s="3"/>
      <c r="AW1" s="4"/>
      <c r="AX1" s="3"/>
      <c r="AY1" s="3"/>
      <c r="AZ1" s="3"/>
      <c r="BA1" s="4"/>
      <c r="BB1" s="3"/>
      <c r="BC1" s="3"/>
      <c r="BD1" s="3"/>
      <c r="BE1" s="4"/>
      <c r="BF1" s="3"/>
      <c r="BG1" s="3"/>
      <c r="BH1" s="3"/>
      <c r="BI1" s="4"/>
      <c r="BJ1" s="3"/>
      <c r="BK1" s="3"/>
      <c r="BL1" s="3"/>
      <c r="BM1" s="4"/>
      <c r="BN1" s="3"/>
      <c r="BO1" s="3"/>
      <c r="BP1" s="3"/>
      <c r="BQ1" s="4"/>
      <c r="BR1" s="3"/>
      <c r="BS1" s="3"/>
      <c r="BT1" s="3"/>
      <c r="BU1" s="4"/>
      <c r="BV1" s="3"/>
      <c r="BW1" s="3"/>
      <c r="BX1" s="3"/>
      <c r="BY1" s="3"/>
      <c r="BZ1" s="4"/>
      <c r="CA1" s="3"/>
      <c r="CB1" s="3"/>
      <c r="CC1" s="3"/>
      <c r="CD1" s="4"/>
      <c r="CE1" s="3"/>
      <c r="CF1" s="3"/>
      <c r="CG1" s="3"/>
      <c r="CH1" s="3"/>
      <c r="CI1" s="4"/>
      <c r="CJ1" s="3"/>
      <c r="CK1" s="3"/>
      <c r="CL1" s="3"/>
      <c r="CM1" s="3"/>
      <c r="CN1" s="4"/>
      <c r="CO1" s="3"/>
      <c r="CP1" s="3"/>
      <c r="CQ1" s="3"/>
      <c r="CR1" s="3"/>
      <c r="CS1" s="4"/>
      <c r="CT1" s="3"/>
      <c r="CU1" s="3"/>
      <c r="CV1" s="3"/>
      <c r="CW1" s="4"/>
      <c r="CX1" s="3"/>
      <c r="CY1" s="3"/>
      <c r="CZ1" s="3"/>
      <c r="DA1" s="3"/>
      <c r="DB1" s="3"/>
      <c r="DC1" s="3"/>
      <c r="DD1" s="3"/>
      <c r="DE1" s="3"/>
      <c r="DF1" s="3"/>
      <c r="DG1" s="3"/>
      <c r="DH1" s="3"/>
      <c r="DI1" s="4"/>
      <c r="DJ1" s="3"/>
      <c r="DK1" s="4"/>
      <c r="DL1" s="3"/>
      <c r="DM1" s="4"/>
      <c r="DN1" s="3"/>
      <c r="DO1" s="4"/>
      <c r="DP1" s="3"/>
      <c r="DQ1" s="4"/>
      <c r="DR1" s="3"/>
      <c r="DS1" s="4"/>
      <c r="DT1" s="3"/>
      <c r="DU1" s="4"/>
      <c r="DV1" s="3"/>
      <c r="DW1" s="4"/>
      <c r="DX1" s="3"/>
      <c r="DY1" s="4"/>
      <c r="DZ1" s="3"/>
      <c r="EA1" s="4"/>
      <c r="EB1" s="5"/>
      <c r="EC1" s="4"/>
      <c r="ED1" s="5"/>
      <c r="EE1" s="4"/>
      <c r="EF1" s="5"/>
      <c r="EG1" s="4"/>
      <c r="EH1" s="5"/>
      <c r="EI1" s="5"/>
      <c r="EJ1" s="5"/>
      <c r="EK1" s="5"/>
      <c r="EL1" s="5"/>
      <c r="EM1" s="5"/>
      <c r="EN1" s="5"/>
      <c r="EO1" s="5"/>
      <c r="EP1" s="5"/>
      <c r="EQ1" s="5"/>
      <c r="ER1" s="6"/>
      <c r="ES1" s="536"/>
      <c r="ET1" s="536"/>
      <c r="EU1" s="536"/>
      <c r="EV1" s="6"/>
      <c r="EW1" s="536"/>
      <c r="EX1" s="536"/>
      <c r="EY1" s="536"/>
      <c r="EZ1" s="6"/>
      <c r="FA1" s="536"/>
      <c r="FB1" s="536"/>
    </row>
    <row r="2" spans="1:236" ht="35.25" customHeight="1">
      <c r="A2" s="7"/>
      <c r="B2" s="8" t="s">
        <v>0</v>
      </c>
      <c r="C2" s="4"/>
      <c r="D2" s="612" t="s">
        <v>986</v>
      </c>
      <c r="F2" s="619" t="s">
        <v>826</v>
      </c>
      <c r="G2" s="4"/>
      <c r="H2" s="612" t="s">
        <v>985</v>
      </c>
      <c r="J2" s="619" t="s">
        <v>827</v>
      </c>
      <c r="K2" s="4"/>
      <c r="L2" s="619" t="s">
        <v>960</v>
      </c>
      <c r="N2" s="630" t="s">
        <v>384</v>
      </c>
      <c r="O2" s="640"/>
      <c r="P2" s="619">
        <v>2018</v>
      </c>
      <c r="R2" s="630">
        <v>2017</v>
      </c>
      <c r="S2" s="639"/>
      <c r="T2" s="619" t="s">
        <v>929</v>
      </c>
      <c r="V2" s="630" t="s">
        <v>829</v>
      </c>
      <c r="W2" s="639"/>
      <c r="X2" s="619" t="s">
        <v>892</v>
      </c>
      <c r="Z2" s="630" t="s">
        <v>432</v>
      </c>
      <c r="AA2" s="639"/>
      <c r="AB2" s="619" t="s">
        <v>893</v>
      </c>
      <c r="AD2" s="630" t="s">
        <v>388</v>
      </c>
      <c r="AE2" s="4"/>
      <c r="AF2" s="300" t="s">
        <v>826</v>
      </c>
      <c r="AH2" s="299" t="s">
        <v>403</v>
      </c>
      <c r="AI2" s="336"/>
      <c r="AJ2" s="300" t="s">
        <v>827</v>
      </c>
      <c r="AL2" s="299" t="s">
        <v>390</v>
      </c>
      <c r="AM2" s="336"/>
      <c r="AN2" s="300" t="s">
        <v>384</v>
      </c>
      <c r="AP2" s="299" t="s">
        <v>385</v>
      </c>
      <c r="AQ2" s="276"/>
      <c r="AR2" s="300">
        <v>2017</v>
      </c>
      <c r="AS2" s="306"/>
      <c r="AT2" s="299">
        <v>2016</v>
      </c>
      <c r="AU2" s="336"/>
      <c r="AV2" s="300" t="s">
        <v>386</v>
      </c>
      <c r="AW2" s="306"/>
      <c r="AX2" s="299" t="s">
        <v>387</v>
      </c>
      <c r="AY2" s="336"/>
      <c r="AZ2" s="300" t="s">
        <v>388</v>
      </c>
      <c r="BA2" s="306"/>
      <c r="BB2" s="299" t="s">
        <v>389</v>
      </c>
      <c r="BC2" s="336"/>
      <c r="BD2" s="300" t="s">
        <v>401</v>
      </c>
      <c r="BE2" s="306"/>
      <c r="BF2" s="299" t="s">
        <v>402</v>
      </c>
      <c r="BG2" s="336"/>
      <c r="BH2" s="300" t="s">
        <v>403</v>
      </c>
      <c r="BI2" s="306"/>
      <c r="BJ2" s="299" t="s">
        <v>404</v>
      </c>
      <c r="BK2" s="336"/>
      <c r="BL2" s="300" t="s">
        <v>390</v>
      </c>
      <c r="BM2" s="306"/>
      <c r="BN2" s="299" t="s">
        <v>391</v>
      </c>
      <c r="BO2" s="336"/>
      <c r="BP2" s="300" t="s">
        <v>385</v>
      </c>
      <c r="BQ2" s="306"/>
      <c r="BR2" s="299" t="s">
        <v>405</v>
      </c>
      <c r="BS2" s="336"/>
      <c r="BT2" s="300">
        <v>2016</v>
      </c>
      <c r="BU2" s="306"/>
      <c r="BV2" s="299">
        <v>2015</v>
      </c>
      <c r="BW2" s="336"/>
      <c r="BX2" s="336"/>
      <c r="BY2" s="300" t="s">
        <v>387</v>
      </c>
      <c r="BZ2" s="337"/>
      <c r="CA2" s="299" t="s">
        <v>406</v>
      </c>
      <c r="CB2" s="338"/>
      <c r="CC2" s="300" t="s">
        <v>407</v>
      </c>
      <c r="CD2" s="306"/>
      <c r="CE2" s="299" t="s">
        <v>408</v>
      </c>
      <c r="CF2" s="336"/>
      <c r="CG2" s="336"/>
      <c r="CH2" s="300" t="s">
        <v>409</v>
      </c>
      <c r="CI2" s="337"/>
      <c r="CJ2" s="299" t="s">
        <v>410</v>
      </c>
      <c r="CK2" s="336"/>
      <c r="CL2" s="336"/>
      <c r="CM2" s="300" t="s">
        <v>411</v>
      </c>
      <c r="CN2" s="337"/>
      <c r="CO2" s="299" t="s">
        <v>412</v>
      </c>
      <c r="CP2" s="336"/>
      <c r="CQ2" s="336"/>
      <c r="CR2" s="300" t="s">
        <v>413</v>
      </c>
      <c r="CS2" s="337"/>
      <c r="CT2" s="299" t="s">
        <v>414</v>
      </c>
      <c r="CU2" s="336"/>
      <c r="CV2" s="300" t="s">
        <v>415</v>
      </c>
      <c r="CW2" s="337"/>
      <c r="CX2" s="299" t="s">
        <v>416</v>
      </c>
      <c r="CY2" s="336"/>
      <c r="CZ2" s="299">
        <v>2015</v>
      </c>
      <c r="DA2" s="336"/>
      <c r="DB2" s="299">
        <v>2014</v>
      </c>
      <c r="DC2" s="336"/>
      <c r="DD2" s="299" t="s">
        <v>406</v>
      </c>
      <c r="DE2" s="337"/>
      <c r="DF2" s="299" t="s">
        <v>395</v>
      </c>
      <c r="DG2" s="336"/>
      <c r="DH2" s="299" t="s">
        <v>408</v>
      </c>
      <c r="DI2" s="306"/>
      <c r="DJ2" s="299" t="s">
        <v>417</v>
      </c>
      <c r="DK2" s="337"/>
      <c r="DL2" s="299" t="s">
        <v>418</v>
      </c>
      <c r="DM2" s="337"/>
      <c r="DN2" s="299" t="s">
        <v>419</v>
      </c>
      <c r="DO2" s="337"/>
      <c r="DP2" s="299" t="s">
        <v>420</v>
      </c>
      <c r="DQ2" s="337"/>
      <c r="DR2" s="299" t="s">
        <v>393</v>
      </c>
      <c r="DS2" s="337"/>
      <c r="DT2" s="299" t="s">
        <v>421</v>
      </c>
      <c r="DU2" s="337"/>
      <c r="DV2" s="299" t="s">
        <v>399</v>
      </c>
      <c r="DW2" s="337"/>
      <c r="DX2" s="299" t="s">
        <v>422</v>
      </c>
      <c r="DY2" s="337"/>
      <c r="DZ2" s="299" t="s">
        <v>423</v>
      </c>
      <c r="EA2" s="337"/>
      <c r="EB2" s="299">
        <v>2014</v>
      </c>
      <c r="EC2" s="337"/>
      <c r="ED2" s="299">
        <v>2013</v>
      </c>
      <c r="EE2" s="337"/>
      <c r="EF2" s="299" t="s">
        <v>395</v>
      </c>
      <c r="EG2" s="306"/>
      <c r="EH2" s="299" t="s">
        <v>396</v>
      </c>
      <c r="EI2" s="336"/>
      <c r="EJ2" s="299" t="s">
        <v>417</v>
      </c>
      <c r="EK2" s="306"/>
      <c r="EL2" s="299" t="s">
        <v>424</v>
      </c>
      <c r="EM2" s="306"/>
      <c r="EN2" s="299" t="s">
        <v>419</v>
      </c>
      <c r="EO2" s="306"/>
      <c r="EP2" s="299" t="s">
        <v>398</v>
      </c>
      <c r="EQ2" s="306"/>
      <c r="ER2" s="299" t="s">
        <v>393</v>
      </c>
      <c r="ES2" s="306"/>
      <c r="ET2" s="299" t="s">
        <v>394</v>
      </c>
      <c r="EU2" s="306"/>
      <c r="EV2" s="299" t="s">
        <v>399</v>
      </c>
      <c r="EW2" s="306"/>
      <c r="EX2" s="299" t="s">
        <v>425</v>
      </c>
      <c r="EY2" s="306"/>
      <c r="EZ2" s="299" t="s">
        <v>423</v>
      </c>
      <c r="FA2" s="306"/>
      <c r="FB2" s="299" t="s">
        <v>426</v>
      </c>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row>
    <row r="3" spans="1:236">
      <c r="A3" s="12" t="s">
        <v>135</v>
      </c>
      <c r="B3" s="13" t="s">
        <v>476</v>
      </c>
      <c r="C3" s="14"/>
      <c r="D3" s="613">
        <v>10397854</v>
      </c>
      <c r="E3" s="316"/>
      <c r="F3" s="620">
        <v>8825534</v>
      </c>
      <c r="G3" s="14"/>
      <c r="H3" s="613">
        <v>5085045</v>
      </c>
      <c r="I3" s="316"/>
      <c r="J3" s="620">
        <v>4188648</v>
      </c>
      <c r="K3" s="14"/>
      <c r="L3" s="620">
        <v>5312809</v>
      </c>
      <c r="M3" s="316"/>
      <c r="N3" s="641">
        <v>4636886</v>
      </c>
      <c r="O3" s="642"/>
      <c r="P3" s="620">
        <v>18121748</v>
      </c>
      <c r="Q3" s="643"/>
      <c r="R3" s="641">
        <v>17424551</v>
      </c>
      <c r="S3" s="624"/>
      <c r="T3" s="620">
        <v>4819946</v>
      </c>
      <c r="U3" s="643"/>
      <c r="V3" s="620">
        <v>4550562</v>
      </c>
      <c r="W3" s="624"/>
      <c r="X3" s="620">
        <v>13301802</v>
      </c>
      <c r="Y3" s="643"/>
      <c r="Z3" s="641">
        <v>12873989</v>
      </c>
      <c r="AA3" s="624"/>
      <c r="AB3" s="620">
        <v>4476268</v>
      </c>
      <c r="AC3" s="643"/>
      <c r="AD3" s="641">
        <v>4115965</v>
      </c>
      <c r="AE3" s="14"/>
      <c r="AF3" s="339">
        <v>9202371</v>
      </c>
      <c r="AG3" s="316"/>
      <c r="AH3" s="340">
        <v>8758024</v>
      </c>
      <c r="AI3" s="341"/>
      <c r="AJ3" s="339">
        <v>4376839</v>
      </c>
      <c r="AK3" s="316"/>
      <c r="AL3" s="340">
        <v>4166943</v>
      </c>
      <c r="AM3" s="341"/>
      <c r="AN3" s="339">
        <v>4825532</v>
      </c>
      <c r="AO3" s="316"/>
      <c r="AP3" s="340">
        <v>4591081</v>
      </c>
      <c r="AQ3" s="9"/>
      <c r="AR3" s="339">
        <v>17416029</v>
      </c>
      <c r="AS3" s="316"/>
      <c r="AT3" s="340">
        <v>17646489</v>
      </c>
      <c r="AU3" s="341"/>
      <c r="AV3" s="339">
        <v>4544709</v>
      </c>
      <c r="AW3" s="316"/>
      <c r="AX3" s="340">
        <v>4654899</v>
      </c>
      <c r="AY3" s="341"/>
      <c r="AZ3" s="339">
        <f>BD3-BH3</f>
        <v>4115954</v>
      </c>
      <c r="BA3" s="316"/>
      <c r="BB3" s="340">
        <f>BF3-BJ3</f>
        <v>4150564</v>
      </c>
      <c r="BC3" s="341"/>
      <c r="BD3" s="339">
        <v>12871320</v>
      </c>
      <c r="BE3" s="316"/>
      <c r="BF3" s="340">
        <v>12991590</v>
      </c>
      <c r="BG3" s="341"/>
      <c r="BH3" s="339">
        <v>8755366</v>
      </c>
      <c r="BI3" s="316"/>
      <c r="BJ3" s="340">
        <v>8841026</v>
      </c>
      <c r="BK3" s="341"/>
      <c r="BL3" s="339">
        <f>BH3-BP3</f>
        <v>4165829</v>
      </c>
      <c r="BM3" s="316"/>
      <c r="BN3" s="340">
        <f>BJ3-BR3</f>
        <v>4276521</v>
      </c>
      <c r="BO3" s="341"/>
      <c r="BP3" s="339">
        <v>4589537</v>
      </c>
      <c r="BQ3" s="316"/>
      <c r="BR3" s="340">
        <v>4564505</v>
      </c>
      <c r="BS3" s="341"/>
      <c r="BT3" s="339">
        <v>17646489</v>
      </c>
      <c r="BU3" s="316"/>
      <c r="BV3" s="340">
        <v>18264440</v>
      </c>
      <c r="BW3" s="341"/>
      <c r="BX3" s="341"/>
      <c r="BY3" s="339">
        <v>4522744</v>
      </c>
      <c r="BZ3" s="316"/>
      <c r="CA3" s="340">
        <v>4630199</v>
      </c>
      <c r="CB3" s="342"/>
      <c r="CC3" s="339">
        <v>13123745</v>
      </c>
      <c r="CD3" s="316"/>
      <c r="CE3" s="340">
        <v>13634241</v>
      </c>
      <c r="CF3" s="341"/>
      <c r="CG3" s="341"/>
      <c r="CH3" s="339">
        <v>4180888</v>
      </c>
      <c r="CI3" s="316"/>
      <c r="CJ3" s="340">
        <v>4377627</v>
      </c>
      <c r="CK3" s="341"/>
      <c r="CL3" s="341"/>
      <c r="CM3" s="339">
        <v>8942857</v>
      </c>
      <c r="CN3" s="316"/>
      <c r="CO3" s="340">
        <v>9256614</v>
      </c>
      <c r="CP3" s="341"/>
      <c r="CQ3" s="341"/>
      <c r="CR3" s="339">
        <v>4295822</v>
      </c>
      <c r="CS3" s="316"/>
      <c r="CT3" s="340">
        <v>4466828</v>
      </c>
      <c r="CU3" s="341"/>
      <c r="CV3" s="339">
        <v>4647035</v>
      </c>
      <c r="CW3" s="316"/>
      <c r="CX3" s="340">
        <v>4789786</v>
      </c>
      <c r="CY3" s="341"/>
      <c r="CZ3" s="340">
        <v>18375224</v>
      </c>
      <c r="DA3" s="341"/>
      <c r="DB3" s="340">
        <v>18577479</v>
      </c>
      <c r="DC3" s="341"/>
      <c r="DD3" s="340">
        <v>4740983</v>
      </c>
      <c r="DE3" s="341"/>
      <c r="DF3" s="340">
        <v>4859798</v>
      </c>
      <c r="DG3" s="341"/>
      <c r="DH3" s="340">
        <v>13634241</v>
      </c>
      <c r="DI3" s="316"/>
      <c r="DJ3" s="340">
        <v>13717681</v>
      </c>
      <c r="DK3" s="316"/>
      <c r="DL3" s="340">
        <v>4377627</v>
      </c>
      <c r="DM3" s="316"/>
      <c r="DN3" s="340">
        <v>4412231</v>
      </c>
      <c r="DO3" s="316"/>
      <c r="DP3" s="340">
        <v>9184291</v>
      </c>
      <c r="DQ3" s="316"/>
      <c r="DR3" s="340">
        <v>9226315</v>
      </c>
      <c r="DS3" s="316"/>
      <c r="DT3" s="340">
        <v>4430475</v>
      </c>
      <c r="DU3" s="316"/>
      <c r="DV3" s="340">
        <v>4339051</v>
      </c>
      <c r="DW3" s="316"/>
      <c r="DX3" s="340">
        <v>4753816</v>
      </c>
      <c r="DY3" s="316"/>
      <c r="DZ3" s="340">
        <v>4887264</v>
      </c>
      <c r="EA3" s="316"/>
      <c r="EB3" s="340">
        <v>18440763</v>
      </c>
      <c r="EC3" s="316"/>
      <c r="ED3" s="340">
        <v>19131122</v>
      </c>
      <c r="EE3" s="316"/>
      <c r="EF3" s="340">
        <v>4837662</v>
      </c>
      <c r="EG3" s="316"/>
      <c r="EH3" s="340">
        <v>4917418</v>
      </c>
      <c r="EI3" s="337"/>
      <c r="EJ3" s="340">
        <v>13603101</v>
      </c>
      <c r="EK3" s="306"/>
      <c r="EL3" s="340">
        <v>14213704</v>
      </c>
      <c r="EM3" s="306"/>
      <c r="EN3" s="340">
        <v>4376786</v>
      </c>
      <c r="EO3" s="306"/>
      <c r="EP3" s="340">
        <v>4540102</v>
      </c>
      <c r="EQ3" s="306"/>
      <c r="ER3" s="340">
        <v>9226315</v>
      </c>
      <c r="ES3" s="306"/>
      <c r="ET3" s="340">
        <v>9706524</v>
      </c>
      <c r="EU3" s="306"/>
      <c r="EV3" s="340">
        <v>4339051</v>
      </c>
      <c r="EW3" s="306"/>
      <c r="EX3" s="340">
        <v>4542422</v>
      </c>
      <c r="EY3" s="306"/>
      <c r="EZ3" s="340">
        <v>4887264</v>
      </c>
      <c r="FA3" s="306"/>
      <c r="FB3" s="340">
        <v>5164102</v>
      </c>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c r="HT3" s="306"/>
      <c r="HU3" s="306"/>
      <c r="HV3" s="306"/>
      <c r="HW3" s="306"/>
      <c r="HX3" s="306"/>
      <c r="HY3" s="306"/>
      <c r="HZ3" s="306"/>
      <c r="IA3" s="306"/>
      <c r="IB3" s="306"/>
    </row>
    <row r="4" spans="1:236">
      <c r="A4" s="16" t="s">
        <v>1</v>
      </c>
      <c r="B4" s="14" t="s">
        <v>476</v>
      </c>
      <c r="C4" s="14"/>
      <c r="D4" s="566">
        <v>2208365</v>
      </c>
      <c r="E4" s="316"/>
      <c r="F4" s="621">
        <v>2261828</v>
      </c>
      <c r="G4" s="14"/>
      <c r="H4" s="566">
        <v>996168</v>
      </c>
      <c r="I4" s="316"/>
      <c r="J4" s="621">
        <v>936172</v>
      </c>
      <c r="K4" s="14"/>
      <c r="L4" s="621">
        <v>1212197</v>
      </c>
      <c r="M4" s="316"/>
      <c r="N4" s="644">
        <v>1325656</v>
      </c>
      <c r="O4" s="644"/>
      <c r="P4" s="621">
        <v>3374926</v>
      </c>
      <c r="Q4" s="643"/>
      <c r="R4" s="644">
        <v>3617641</v>
      </c>
      <c r="S4" s="624"/>
      <c r="T4" s="621">
        <v>403331</v>
      </c>
      <c r="U4" s="643"/>
      <c r="V4" s="644">
        <v>670921</v>
      </c>
      <c r="W4" s="624"/>
      <c r="X4" s="621">
        <v>2971595</v>
      </c>
      <c r="Y4" s="643"/>
      <c r="Z4" s="644">
        <v>2946720</v>
      </c>
      <c r="AA4" s="624"/>
      <c r="AB4" s="621">
        <v>777711</v>
      </c>
      <c r="AC4" s="643"/>
      <c r="AD4" s="644">
        <v>794410</v>
      </c>
      <c r="AE4" s="14"/>
      <c r="AF4" s="343">
        <v>2193884</v>
      </c>
      <c r="AG4" s="316"/>
      <c r="AH4" s="344">
        <v>2152310</v>
      </c>
      <c r="AI4" s="341"/>
      <c r="AJ4" s="343">
        <v>901641</v>
      </c>
      <c r="AK4" s="316"/>
      <c r="AL4" s="344">
        <v>929828</v>
      </c>
      <c r="AM4" s="341"/>
      <c r="AN4" s="343">
        <v>1292243</v>
      </c>
      <c r="AO4" s="316"/>
      <c r="AP4" s="344">
        <v>1222482</v>
      </c>
      <c r="AQ4" s="17"/>
      <c r="AR4" s="343">
        <v>3544591</v>
      </c>
      <c r="AS4" s="316"/>
      <c r="AT4" s="344">
        <v>3336814</v>
      </c>
      <c r="AU4" s="341"/>
      <c r="AV4" s="343">
        <v>667406</v>
      </c>
      <c r="AW4" s="316"/>
      <c r="AX4" s="344">
        <v>876288</v>
      </c>
      <c r="AY4" s="341"/>
      <c r="AZ4" s="343">
        <f>BD4-BH4</f>
        <v>783205</v>
      </c>
      <c r="BA4" s="316"/>
      <c r="BB4" s="344">
        <f>BF4-BJ4</f>
        <v>797351</v>
      </c>
      <c r="BC4" s="341"/>
      <c r="BD4" s="343">
        <v>2877185</v>
      </c>
      <c r="BE4" s="316"/>
      <c r="BF4" s="344">
        <v>2460526</v>
      </c>
      <c r="BG4" s="341"/>
      <c r="BH4" s="343">
        <v>2093980</v>
      </c>
      <c r="BI4" s="316"/>
      <c r="BJ4" s="344">
        <v>1663175</v>
      </c>
      <c r="BK4" s="341"/>
      <c r="BL4" s="343">
        <f>BH4-BP4</f>
        <v>908739</v>
      </c>
      <c r="BM4" s="316"/>
      <c r="BN4" s="344">
        <f>BJ4-BR4</f>
        <v>789064</v>
      </c>
      <c r="BO4" s="341"/>
      <c r="BP4" s="343">
        <v>1185241</v>
      </c>
      <c r="BQ4" s="316"/>
      <c r="BR4" s="344">
        <v>874111</v>
      </c>
      <c r="BS4" s="341"/>
      <c r="BT4" s="343">
        <v>3336814</v>
      </c>
      <c r="BU4" s="316"/>
      <c r="BV4" s="344">
        <v>3523228</v>
      </c>
      <c r="BW4" s="341"/>
      <c r="BX4" s="341"/>
      <c r="BY4" s="343">
        <v>879302</v>
      </c>
      <c r="BZ4" s="316"/>
      <c r="CA4" s="344">
        <v>682152</v>
      </c>
      <c r="CB4" s="343"/>
      <c r="CC4" s="343">
        <v>2457512</v>
      </c>
      <c r="CD4" s="316"/>
      <c r="CE4" s="344">
        <v>2841076</v>
      </c>
      <c r="CF4" s="341"/>
      <c r="CG4" s="341"/>
      <c r="CH4" s="343">
        <v>804106</v>
      </c>
      <c r="CI4" s="316"/>
      <c r="CJ4" s="344">
        <v>933204</v>
      </c>
      <c r="CK4" s="341"/>
      <c r="CL4" s="341"/>
      <c r="CM4" s="343">
        <v>1653406</v>
      </c>
      <c r="CN4" s="316"/>
      <c r="CO4" s="344">
        <v>1907872</v>
      </c>
      <c r="CP4" s="341"/>
      <c r="CQ4" s="341"/>
      <c r="CR4" s="343">
        <v>780493</v>
      </c>
      <c r="CS4" s="316"/>
      <c r="CT4" s="344">
        <v>892937</v>
      </c>
      <c r="CU4" s="341"/>
      <c r="CV4" s="343">
        <v>872913</v>
      </c>
      <c r="CW4" s="316"/>
      <c r="CX4" s="344">
        <v>1014935</v>
      </c>
      <c r="CY4" s="341"/>
      <c r="CZ4" s="344">
        <v>3523303</v>
      </c>
      <c r="DA4" s="341"/>
      <c r="DB4" s="344">
        <v>3694544</v>
      </c>
      <c r="DC4" s="341"/>
      <c r="DD4" s="344">
        <v>682227</v>
      </c>
      <c r="DE4" s="341"/>
      <c r="DF4" s="344">
        <v>769168</v>
      </c>
      <c r="DG4" s="341"/>
      <c r="DH4" s="344">
        <v>2841076</v>
      </c>
      <c r="DI4" s="316"/>
      <c r="DJ4" s="344">
        <v>2925376</v>
      </c>
      <c r="DK4" s="316"/>
      <c r="DL4" s="344">
        <v>933204</v>
      </c>
      <c r="DM4" s="316"/>
      <c r="DN4" s="344">
        <v>920761</v>
      </c>
      <c r="DO4" s="316"/>
      <c r="DP4" s="344">
        <v>1914860</v>
      </c>
      <c r="DQ4" s="316"/>
      <c r="DR4" s="344">
        <v>1994598</v>
      </c>
      <c r="DS4" s="316"/>
      <c r="DT4" s="344">
        <v>894004</v>
      </c>
      <c r="DU4" s="316"/>
      <c r="DV4" s="344">
        <v>906390</v>
      </c>
      <c r="DW4" s="316"/>
      <c r="DX4" s="344">
        <v>1020856</v>
      </c>
      <c r="DY4" s="316"/>
      <c r="DZ4" s="344">
        <v>1088208</v>
      </c>
      <c r="EA4" s="316"/>
      <c r="EB4" s="344">
        <v>3627100</v>
      </c>
      <c r="EC4" s="316"/>
      <c r="ED4" s="344">
        <v>3661484</v>
      </c>
      <c r="EE4" s="316"/>
      <c r="EF4" s="344">
        <v>711791</v>
      </c>
      <c r="EG4" s="316"/>
      <c r="EH4" s="344">
        <v>660767</v>
      </c>
      <c r="EI4" s="316"/>
      <c r="EJ4" s="344">
        <v>2915309</v>
      </c>
      <c r="EK4" s="306"/>
      <c r="EL4" s="344">
        <v>3000717</v>
      </c>
      <c r="EM4" s="306"/>
      <c r="EN4" s="344">
        <v>920711</v>
      </c>
      <c r="EO4" s="306"/>
      <c r="EP4" s="344">
        <v>947054</v>
      </c>
      <c r="EQ4" s="306"/>
      <c r="ER4" s="344">
        <v>1994598</v>
      </c>
      <c r="ES4" s="306"/>
      <c r="ET4" s="344">
        <v>2053663</v>
      </c>
      <c r="EU4" s="306"/>
      <c r="EV4" s="344">
        <v>906390</v>
      </c>
      <c r="EW4" s="306"/>
      <c r="EX4" s="344">
        <v>831507</v>
      </c>
      <c r="EY4" s="306"/>
      <c r="EZ4" s="344">
        <v>1088208</v>
      </c>
      <c r="FA4" s="306"/>
      <c r="FB4" s="344">
        <v>1222156</v>
      </c>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c r="HT4" s="306"/>
      <c r="HU4" s="306"/>
      <c r="HV4" s="306"/>
      <c r="HW4" s="306"/>
      <c r="HX4" s="306"/>
      <c r="HY4" s="306"/>
      <c r="HZ4" s="306"/>
      <c r="IA4" s="306"/>
      <c r="IB4" s="306"/>
    </row>
    <row r="5" spans="1:236">
      <c r="A5" s="16" t="s">
        <v>136</v>
      </c>
      <c r="B5" s="14" t="s">
        <v>476</v>
      </c>
      <c r="C5" s="14"/>
      <c r="D5" s="566">
        <v>666940</v>
      </c>
      <c r="E5" s="316"/>
      <c r="F5" s="621">
        <v>568436</v>
      </c>
      <c r="G5" s="14"/>
      <c r="H5" s="566">
        <v>142248</v>
      </c>
      <c r="I5" s="316"/>
      <c r="J5" s="621">
        <v>-68233</v>
      </c>
      <c r="K5" s="14"/>
      <c r="L5" s="621">
        <v>524692</v>
      </c>
      <c r="M5" s="316"/>
      <c r="N5" s="644">
        <v>636669</v>
      </c>
      <c r="O5" s="644"/>
      <c r="P5" s="621">
        <v>207045</v>
      </c>
      <c r="Q5" s="643"/>
      <c r="R5" s="644">
        <v>1382946</v>
      </c>
      <c r="S5" s="624"/>
      <c r="T5" s="621">
        <v>-647835</v>
      </c>
      <c r="U5" s="643"/>
      <c r="V5" s="644">
        <v>188716</v>
      </c>
      <c r="W5" s="624"/>
      <c r="X5" s="621">
        <v>854880</v>
      </c>
      <c r="Y5" s="643"/>
      <c r="Z5" s="644">
        <v>1194230</v>
      </c>
      <c r="AA5" s="624"/>
      <c r="AB5" s="621">
        <v>286444</v>
      </c>
      <c r="AC5" s="643"/>
      <c r="AD5" s="644">
        <v>188753</v>
      </c>
      <c r="AE5" s="14"/>
      <c r="AF5" s="343">
        <v>568436</v>
      </c>
      <c r="AG5" s="316"/>
      <c r="AH5" s="344">
        <v>1005477</v>
      </c>
      <c r="AI5" s="341"/>
      <c r="AJ5" s="315">
        <v>-68233</v>
      </c>
      <c r="AK5" s="316"/>
      <c r="AL5" s="344">
        <v>364942</v>
      </c>
      <c r="AM5" s="341"/>
      <c r="AN5" s="343">
        <v>636669</v>
      </c>
      <c r="AO5" s="316"/>
      <c r="AP5" s="344">
        <v>640535</v>
      </c>
      <c r="AQ5" s="17"/>
      <c r="AR5" s="343">
        <v>1382946</v>
      </c>
      <c r="AS5" s="316"/>
      <c r="AT5" s="344">
        <v>370137</v>
      </c>
      <c r="AU5" s="341"/>
      <c r="AV5" s="343">
        <v>188716</v>
      </c>
      <c r="AW5" s="316"/>
      <c r="AX5" s="344">
        <v>93809</v>
      </c>
      <c r="AY5" s="341"/>
      <c r="AZ5" s="343">
        <f>BD5-BH5</f>
        <v>188753</v>
      </c>
      <c r="BA5" s="316"/>
      <c r="BB5" s="344">
        <f>BF5-BJ5</f>
        <v>271611</v>
      </c>
      <c r="BC5" s="341"/>
      <c r="BD5" s="343">
        <v>1194230</v>
      </c>
      <c r="BE5" s="316"/>
      <c r="BF5" s="344">
        <v>276328</v>
      </c>
      <c r="BG5" s="341"/>
      <c r="BH5" s="343">
        <v>1005477</v>
      </c>
      <c r="BI5" s="316"/>
      <c r="BJ5" s="345">
        <v>4717</v>
      </c>
      <c r="BK5" s="341"/>
      <c r="BL5" s="343">
        <f>BH5-BP5</f>
        <v>364942</v>
      </c>
      <c r="BM5" s="316"/>
      <c r="BN5" s="345">
        <f>BJ5-BR5</f>
        <v>-319089</v>
      </c>
      <c r="BO5" s="341"/>
      <c r="BP5" s="343">
        <v>640535</v>
      </c>
      <c r="BQ5" s="316"/>
      <c r="BR5" s="345">
        <v>323806</v>
      </c>
      <c r="BS5" s="341"/>
      <c r="BT5" s="343">
        <v>370137</v>
      </c>
      <c r="BU5" s="316"/>
      <c r="BV5" s="345">
        <v>-1804215</v>
      </c>
      <c r="BW5" s="341"/>
      <c r="BX5" s="341"/>
      <c r="BY5" s="343">
        <v>94005</v>
      </c>
      <c r="BZ5" s="316"/>
      <c r="CA5" s="345">
        <v>-2883370</v>
      </c>
      <c r="CB5" s="343"/>
      <c r="CC5" s="343">
        <v>276132</v>
      </c>
      <c r="CD5" s="316"/>
      <c r="CE5" s="344">
        <v>1079155</v>
      </c>
      <c r="CF5" s="341"/>
      <c r="CG5" s="341"/>
      <c r="CH5" s="343">
        <v>271415</v>
      </c>
      <c r="CI5" s="316"/>
      <c r="CJ5" s="344">
        <v>358768</v>
      </c>
      <c r="CK5" s="341"/>
      <c r="CL5" s="341"/>
      <c r="CM5" s="343">
        <v>4717</v>
      </c>
      <c r="CN5" s="316"/>
      <c r="CO5" s="344">
        <v>718524</v>
      </c>
      <c r="CP5" s="341"/>
      <c r="CQ5" s="341"/>
      <c r="CR5" s="346">
        <v>-319089</v>
      </c>
      <c r="CS5" s="316"/>
      <c r="CT5" s="344">
        <v>216481</v>
      </c>
      <c r="CU5" s="341"/>
      <c r="CV5" s="343">
        <v>323806</v>
      </c>
      <c r="CW5" s="316"/>
      <c r="CX5" s="344">
        <v>502730</v>
      </c>
      <c r="CY5" s="341"/>
      <c r="CZ5" s="345">
        <v>-1804215</v>
      </c>
      <c r="DA5" s="341"/>
      <c r="DB5" s="344">
        <v>1185560</v>
      </c>
      <c r="DC5" s="341"/>
      <c r="DD5" s="345">
        <v>-2883370</v>
      </c>
      <c r="DE5" s="341"/>
      <c r="DF5" s="344">
        <v>132502</v>
      </c>
      <c r="DG5" s="341"/>
      <c r="DH5" s="344">
        <v>1079155</v>
      </c>
      <c r="DI5" s="316"/>
      <c r="DJ5" s="344">
        <v>1053058</v>
      </c>
      <c r="DK5" s="316"/>
      <c r="DL5" s="344">
        <v>358768</v>
      </c>
      <c r="DM5" s="316"/>
      <c r="DN5" s="344">
        <v>319136</v>
      </c>
      <c r="DO5" s="316"/>
      <c r="DP5" s="344">
        <v>720387</v>
      </c>
      <c r="DQ5" s="316"/>
      <c r="DR5" s="344">
        <v>733922</v>
      </c>
      <c r="DS5" s="316"/>
      <c r="DT5" s="344">
        <v>217657</v>
      </c>
      <c r="DU5" s="316"/>
      <c r="DV5" s="344">
        <v>335236</v>
      </c>
      <c r="DW5" s="316"/>
      <c r="DX5" s="344">
        <v>502730</v>
      </c>
      <c r="DY5" s="316"/>
      <c r="DZ5" s="344">
        <v>398686</v>
      </c>
      <c r="EA5" s="316"/>
      <c r="EB5" s="344">
        <v>1185560</v>
      </c>
      <c r="EC5" s="316"/>
      <c r="ED5" s="344">
        <v>1346485</v>
      </c>
      <c r="EE5" s="316"/>
      <c r="EF5" s="344">
        <v>283172</v>
      </c>
      <c r="EG5" s="316"/>
      <c r="EH5" s="344">
        <v>220690</v>
      </c>
      <c r="EI5" s="316"/>
      <c r="EJ5" s="344">
        <v>1053058</v>
      </c>
      <c r="EK5" s="306"/>
      <c r="EL5" s="344">
        <v>1264187</v>
      </c>
      <c r="EM5" s="306"/>
      <c r="EN5" s="344">
        <v>319136</v>
      </c>
      <c r="EO5" s="306"/>
      <c r="EP5" s="344">
        <v>372305</v>
      </c>
      <c r="EQ5" s="306"/>
      <c r="ER5" s="344">
        <v>733922</v>
      </c>
      <c r="ES5" s="306"/>
      <c r="ET5" s="344">
        <v>891882</v>
      </c>
      <c r="EU5" s="306"/>
      <c r="EV5" s="344">
        <v>335236</v>
      </c>
      <c r="EW5" s="306"/>
      <c r="EX5" s="344">
        <v>311084</v>
      </c>
      <c r="EY5" s="306"/>
      <c r="EZ5" s="344">
        <v>398686</v>
      </c>
      <c r="FA5" s="306"/>
      <c r="FB5" s="344">
        <v>580798</v>
      </c>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row>
    <row r="6" spans="1:236">
      <c r="A6" s="16" t="s">
        <v>2</v>
      </c>
      <c r="B6" s="14" t="s">
        <v>476</v>
      </c>
      <c r="C6" s="14"/>
      <c r="D6" s="566">
        <v>1642101</v>
      </c>
      <c r="E6" s="316"/>
      <c r="F6" s="657">
        <v>1560499</v>
      </c>
      <c r="G6" s="14"/>
      <c r="H6" s="566">
        <v>915557</v>
      </c>
      <c r="I6" s="316"/>
      <c r="J6" s="657">
        <v>954016</v>
      </c>
      <c r="K6" s="14"/>
      <c r="L6" s="621">
        <v>726544</v>
      </c>
      <c r="M6" s="316"/>
      <c r="N6" s="643">
        <v>606483</v>
      </c>
      <c r="O6" s="643"/>
      <c r="P6" s="621">
        <v>3672005</v>
      </c>
      <c r="Q6" s="643"/>
      <c r="R6" s="643">
        <v>3474148</v>
      </c>
      <c r="S6" s="624"/>
      <c r="T6" s="621">
        <v>1347284</v>
      </c>
      <c r="V6" s="643">
        <v>1256787</v>
      </c>
      <c r="W6" s="624"/>
      <c r="X6" s="621">
        <v>2324721</v>
      </c>
      <c r="Y6" s="643"/>
      <c r="Z6" s="643">
        <v>2217361</v>
      </c>
      <c r="AA6" s="624"/>
      <c r="AB6" s="621">
        <v>844391</v>
      </c>
      <c r="AD6" s="643">
        <v>722119</v>
      </c>
      <c r="AE6" s="14"/>
      <c r="AF6" s="343">
        <v>1480330</v>
      </c>
      <c r="AG6" s="316"/>
      <c r="AH6" s="316">
        <v>1495242</v>
      </c>
      <c r="AI6" s="341"/>
      <c r="AJ6" s="343">
        <v>911630</v>
      </c>
      <c r="AL6" s="316">
        <v>859154</v>
      </c>
      <c r="AM6" s="341"/>
      <c r="AN6" s="343">
        <v>568700</v>
      </c>
      <c r="AO6" s="316"/>
      <c r="AP6" s="316">
        <v>636088</v>
      </c>
      <c r="AQ6" s="15"/>
      <c r="AR6" s="343">
        <v>3474148</v>
      </c>
      <c r="AS6" s="316"/>
      <c r="AT6" s="316">
        <v>3816811</v>
      </c>
      <c r="AU6" s="341"/>
      <c r="AV6" s="343">
        <v>1256787</v>
      </c>
      <c r="AW6" s="316"/>
      <c r="AX6" s="316">
        <v>1366994</v>
      </c>
      <c r="AY6" s="341"/>
      <c r="AZ6" s="343">
        <f>BD6-BH6</f>
        <v>722119</v>
      </c>
      <c r="BA6" s="316"/>
      <c r="BB6" s="316">
        <f>BF6-BJ6</f>
        <v>997687</v>
      </c>
      <c r="BC6" s="341"/>
      <c r="BD6" s="343">
        <v>2217361</v>
      </c>
      <c r="BE6" s="316"/>
      <c r="BF6" s="316">
        <v>2449817</v>
      </c>
      <c r="BG6" s="341"/>
      <c r="BH6" s="343">
        <v>1495242</v>
      </c>
      <c r="BI6" s="316"/>
      <c r="BJ6" s="316">
        <v>1452130</v>
      </c>
      <c r="BK6" s="341"/>
      <c r="BL6" s="343">
        <f>BH6-BP6</f>
        <v>859154</v>
      </c>
      <c r="BM6" s="316"/>
      <c r="BN6" s="316">
        <f>BJ6-BR6</f>
        <v>798407</v>
      </c>
      <c r="BO6" s="341"/>
      <c r="BP6" s="343">
        <v>636088</v>
      </c>
      <c r="BQ6" s="316"/>
      <c r="BR6" s="316">
        <v>653723</v>
      </c>
      <c r="BS6" s="341"/>
      <c r="BT6" s="343">
        <v>3816811</v>
      </c>
      <c r="BU6" s="316"/>
      <c r="BV6" s="316">
        <v>4175470</v>
      </c>
      <c r="BW6" s="341"/>
      <c r="BX6" s="341"/>
      <c r="BY6" s="343">
        <v>1366994</v>
      </c>
      <c r="BZ6" s="316"/>
      <c r="CA6" s="316">
        <v>1396598</v>
      </c>
      <c r="CB6" s="343"/>
      <c r="CC6" s="343">
        <v>2449817</v>
      </c>
      <c r="CD6" s="316"/>
      <c r="CE6" s="316">
        <v>2778872</v>
      </c>
      <c r="CF6" s="341"/>
      <c r="CG6" s="341"/>
      <c r="CH6" s="343">
        <v>997687</v>
      </c>
      <c r="CI6" s="316"/>
      <c r="CJ6" s="316">
        <v>1008145</v>
      </c>
      <c r="CK6" s="341"/>
      <c r="CL6" s="341"/>
      <c r="CM6" s="343">
        <v>1452130</v>
      </c>
      <c r="CN6" s="316"/>
      <c r="CO6" s="344">
        <v>1770727</v>
      </c>
      <c r="CP6" s="341"/>
      <c r="CQ6" s="341"/>
      <c r="CR6" s="343">
        <v>798407</v>
      </c>
      <c r="CS6" s="316"/>
      <c r="CT6" s="344">
        <v>979049</v>
      </c>
      <c r="CU6" s="341"/>
      <c r="CV6" s="343">
        <v>653723</v>
      </c>
      <c r="CW6" s="316"/>
      <c r="CX6" s="344">
        <v>791678</v>
      </c>
      <c r="CY6" s="341"/>
      <c r="CZ6" s="344">
        <v>4175470</v>
      </c>
      <c r="DA6" s="341"/>
      <c r="DB6" s="344">
        <v>3089592</v>
      </c>
      <c r="DC6" s="341"/>
      <c r="DD6" s="344">
        <v>1396598</v>
      </c>
      <c r="DE6" s="341"/>
      <c r="DF6" s="344">
        <v>1079388</v>
      </c>
      <c r="DG6" s="341"/>
      <c r="DH6" s="344">
        <v>2778872</v>
      </c>
      <c r="DI6" s="316"/>
      <c r="DJ6" s="344">
        <v>2010204</v>
      </c>
      <c r="DK6" s="316"/>
      <c r="DL6" s="344">
        <v>1008145</v>
      </c>
      <c r="DM6" s="316"/>
      <c r="DN6" s="344">
        <v>760127</v>
      </c>
      <c r="DO6" s="316"/>
      <c r="DP6" s="344">
        <v>1770727</v>
      </c>
      <c r="DQ6" s="316"/>
      <c r="DR6" s="344">
        <v>1250077</v>
      </c>
      <c r="DS6" s="316"/>
      <c r="DT6" s="344">
        <v>979049</v>
      </c>
      <c r="DU6" s="316"/>
      <c r="DV6" s="344">
        <v>684767</v>
      </c>
      <c r="DW6" s="316"/>
      <c r="DX6" s="344">
        <v>791678</v>
      </c>
      <c r="DY6" s="316"/>
      <c r="DZ6" s="344">
        <v>565310</v>
      </c>
      <c r="EA6" s="316"/>
      <c r="EB6" s="344">
        <v>3089592</v>
      </c>
      <c r="EC6" s="347"/>
      <c r="ED6" s="344">
        <v>3779555</v>
      </c>
      <c r="EE6" s="347"/>
      <c r="EF6" s="344">
        <v>1079388</v>
      </c>
      <c r="EG6" s="347"/>
      <c r="EH6" s="344">
        <v>1411162</v>
      </c>
      <c r="EI6" s="316"/>
      <c r="EJ6" s="344">
        <v>2010204</v>
      </c>
      <c r="EK6" s="306"/>
      <c r="EL6" s="344">
        <v>2368393</v>
      </c>
      <c r="EM6" s="306"/>
      <c r="EN6" s="344">
        <v>760127</v>
      </c>
      <c r="EO6" s="306"/>
      <c r="EP6" s="344">
        <v>1018451</v>
      </c>
      <c r="EQ6" s="306"/>
      <c r="ER6" s="344">
        <v>1250077</v>
      </c>
      <c r="ES6" s="306"/>
      <c r="ET6" s="344">
        <v>1349942</v>
      </c>
      <c r="EU6" s="306"/>
      <c r="EV6" s="344">
        <v>684767</v>
      </c>
      <c r="EW6" s="306"/>
      <c r="EX6" s="344">
        <v>809087</v>
      </c>
      <c r="EY6" s="306"/>
      <c r="EZ6" s="344">
        <v>565310</v>
      </c>
      <c r="FA6" s="306"/>
      <c r="FB6" s="344">
        <v>540855</v>
      </c>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c r="HT6" s="306"/>
      <c r="HU6" s="306"/>
      <c r="HV6" s="306"/>
      <c r="HW6" s="306"/>
      <c r="HX6" s="306"/>
      <c r="HY6" s="306"/>
      <c r="HZ6" s="306"/>
      <c r="IA6" s="306"/>
      <c r="IB6" s="306"/>
    </row>
    <row r="7" spans="1:236">
      <c r="A7" s="19" t="s">
        <v>137</v>
      </c>
      <c r="B7" s="20"/>
      <c r="C7" s="14"/>
      <c r="D7" s="649">
        <v>2.6</v>
      </c>
      <c r="E7" s="349"/>
      <c r="F7" s="622">
        <v>2.2999999999999998</v>
      </c>
      <c r="G7" s="14"/>
      <c r="H7" s="649">
        <v>2.6</v>
      </c>
      <c r="I7" s="349"/>
      <c r="J7" s="622">
        <v>2.2999999999999998</v>
      </c>
      <c r="K7" s="14"/>
      <c r="L7" s="668">
        <v>2.74</v>
      </c>
      <c r="M7" s="349"/>
      <c r="N7" s="286">
        <v>2.2799999999999998</v>
      </c>
      <c r="O7" s="289"/>
      <c r="P7" s="622">
        <v>2.54</v>
      </c>
      <c r="Q7" s="645"/>
      <c r="R7" s="650">
        <v>2.2400000000000002</v>
      </c>
      <c r="S7" s="624"/>
      <c r="T7" s="622">
        <v>2.54</v>
      </c>
      <c r="U7" s="645"/>
      <c r="V7" s="286">
        <v>2.2400000000000002</v>
      </c>
      <c r="W7" s="624"/>
      <c r="X7" s="622">
        <v>2.2400000000000002</v>
      </c>
      <c r="Y7" s="645"/>
      <c r="Z7" s="286">
        <v>2.11</v>
      </c>
      <c r="AA7" s="624"/>
      <c r="AB7" s="622">
        <v>2.2400000000000002</v>
      </c>
      <c r="AC7" s="645"/>
      <c r="AD7" s="286">
        <v>2.11</v>
      </c>
      <c r="AE7" s="14"/>
      <c r="AF7" s="348">
        <v>2.2999999999999998</v>
      </c>
      <c r="AG7" s="349"/>
      <c r="AH7" s="350">
        <v>2.17</v>
      </c>
      <c r="AI7" s="341"/>
      <c r="AJ7" s="348">
        <v>2.2999999999999998</v>
      </c>
      <c r="AK7" s="349"/>
      <c r="AL7" s="350">
        <v>2.17</v>
      </c>
      <c r="AM7" s="341"/>
      <c r="AN7" s="348">
        <v>2.2799999999999998</v>
      </c>
      <c r="AO7" s="349"/>
      <c r="AP7" s="350">
        <v>2.31</v>
      </c>
      <c r="AQ7" s="18"/>
      <c r="AR7" s="348">
        <v>2.27</v>
      </c>
      <c r="AS7" s="349"/>
      <c r="AT7" s="350">
        <v>2.31</v>
      </c>
      <c r="AU7" s="351"/>
      <c r="AV7" s="348">
        <v>2.27</v>
      </c>
      <c r="AW7" s="349"/>
      <c r="AX7" s="350">
        <v>2.31</v>
      </c>
      <c r="AY7" s="341"/>
      <c r="AZ7" s="348">
        <f>BD7</f>
        <v>2.1098068375608405</v>
      </c>
      <c r="BA7" s="349"/>
      <c r="BB7" s="350">
        <f>BF7</f>
        <v>2.64</v>
      </c>
      <c r="BC7" s="351"/>
      <c r="BD7" s="348">
        <v>2.1098068375608405</v>
      </c>
      <c r="BE7" s="349"/>
      <c r="BF7" s="350">
        <v>2.64</v>
      </c>
      <c r="BG7" s="341"/>
      <c r="BH7" s="348">
        <v>2.17</v>
      </c>
      <c r="BI7" s="349"/>
      <c r="BJ7" s="350">
        <f>CM7</f>
        <v>2.577</v>
      </c>
      <c r="BK7" s="351"/>
      <c r="BL7" s="348">
        <f>BH7</f>
        <v>2.17</v>
      </c>
      <c r="BM7" s="349"/>
      <c r="BN7" s="350">
        <f>BJ7</f>
        <v>2.577</v>
      </c>
      <c r="BO7" s="351"/>
      <c r="BP7" s="348">
        <v>2.31</v>
      </c>
      <c r="BQ7" s="349"/>
      <c r="BR7" s="350">
        <v>2.3199999999999998</v>
      </c>
      <c r="BS7" s="351"/>
      <c r="BT7" s="348">
        <v>2.3199999999999998</v>
      </c>
      <c r="BU7" s="349"/>
      <c r="BV7" s="350">
        <v>2.2000000000000002</v>
      </c>
      <c r="BW7" s="351"/>
      <c r="BX7" s="351"/>
      <c r="BY7" s="348">
        <v>2.3199999999999998</v>
      </c>
      <c r="BZ7" s="349"/>
      <c r="CA7" s="350">
        <v>2.2000000000000002</v>
      </c>
      <c r="CB7" s="352"/>
      <c r="CC7" s="348">
        <v>2.64</v>
      </c>
      <c r="CD7" s="349"/>
      <c r="CE7" s="350">
        <v>1.97</v>
      </c>
      <c r="CF7" s="351"/>
      <c r="CG7" s="351"/>
      <c r="CH7" s="348">
        <v>2.64</v>
      </c>
      <c r="CI7" s="349"/>
      <c r="CJ7" s="350">
        <v>1.97</v>
      </c>
      <c r="CK7" s="351"/>
      <c r="CL7" s="351"/>
      <c r="CM7" s="348">
        <v>2.577</v>
      </c>
      <c r="CN7" s="349"/>
      <c r="CO7" s="350">
        <v>1.97</v>
      </c>
      <c r="CP7" s="351"/>
      <c r="CQ7" s="351"/>
      <c r="CR7" s="348">
        <v>2.577</v>
      </c>
      <c r="CS7" s="349"/>
      <c r="CT7" s="350">
        <v>1.97</v>
      </c>
      <c r="CU7" s="351"/>
      <c r="CV7" s="348">
        <v>2.5</v>
      </c>
      <c r="CW7" s="349"/>
      <c r="CX7" s="350">
        <v>1.91</v>
      </c>
      <c r="CY7" s="351"/>
      <c r="CZ7" s="350">
        <v>2.2000000000000002</v>
      </c>
      <c r="DA7" s="347"/>
      <c r="DB7" s="350">
        <v>1.8</v>
      </c>
      <c r="DC7" s="341"/>
      <c r="DD7" s="350">
        <v>2.2000000000000002</v>
      </c>
      <c r="DE7" s="341"/>
      <c r="DF7" s="350">
        <v>1.8</v>
      </c>
      <c r="DG7" s="341"/>
      <c r="DH7" s="350">
        <v>1.97</v>
      </c>
      <c r="DI7" s="349"/>
      <c r="DJ7" s="350">
        <v>1.73</v>
      </c>
      <c r="DK7" s="349"/>
      <c r="DL7" s="350">
        <v>1.97</v>
      </c>
      <c r="DM7" s="349"/>
      <c r="DN7" s="350">
        <v>1.73</v>
      </c>
      <c r="DO7" s="349"/>
      <c r="DP7" s="350">
        <v>1.9349940723994377</v>
      </c>
      <c r="DQ7" s="349"/>
      <c r="DR7" s="350">
        <v>1.68</v>
      </c>
      <c r="DS7" s="349"/>
      <c r="DT7" s="350">
        <v>1.9349940723994377</v>
      </c>
      <c r="DU7" s="349"/>
      <c r="DV7" s="350">
        <v>1.68</v>
      </c>
      <c r="DW7" s="349"/>
      <c r="DX7" s="350">
        <v>1.91</v>
      </c>
      <c r="DY7" s="349"/>
      <c r="DZ7" s="350">
        <v>1.68</v>
      </c>
      <c r="EA7" s="349"/>
      <c r="EB7" s="350">
        <v>1.85</v>
      </c>
      <c r="EC7" s="349"/>
      <c r="ED7" s="350">
        <v>1.43</v>
      </c>
      <c r="EE7" s="349"/>
      <c r="EF7" s="350">
        <v>1.85</v>
      </c>
      <c r="EG7" s="349"/>
      <c r="EH7" s="350">
        <v>1.43</v>
      </c>
      <c r="EI7" s="347"/>
      <c r="EJ7" s="350">
        <v>1.7279887062185715</v>
      </c>
      <c r="EK7" s="306"/>
      <c r="EL7" s="350">
        <v>1.1851646020713575</v>
      </c>
      <c r="EM7" s="306"/>
      <c r="EN7" s="350">
        <v>1.7279887062185715</v>
      </c>
      <c r="EO7" s="306"/>
      <c r="EP7" s="350">
        <v>1.1851646020713575</v>
      </c>
      <c r="EQ7" s="306"/>
      <c r="ER7" s="350">
        <v>1.68</v>
      </c>
      <c r="ES7" s="306"/>
      <c r="ET7" s="350">
        <v>1.31</v>
      </c>
      <c r="EU7" s="306"/>
      <c r="EV7" s="350">
        <v>1.68</v>
      </c>
      <c r="EW7" s="306"/>
      <c r="EX7" s="350">
        <v>1.31</v>
      </c>
      <c r="EY7" s="306"/>
      <c r="EZ7" s="350">
        <v>1.68</v>
      </c>
      <c r="FA7" s="306"/>
      <c r="FB7" s="350">
        <v>1.33</v>
      </c>
      <c r="FC7" s="306"/>
      <c r="FD7" s="306"/>
      <c r="FE7" s="306"/>
      <c r="FF7" s="306"/>
      <c r="FG7" s="306"/>
      <c r="FH7" s="306"/>
      <c r="FI7" s="306"/>
      <c r="FJ7" s="306"/>
      <c r="FK7" s="306"/>
      <c r="FL7" s="306"/>
      <c r="FM7" s="306"/>
      <c r="FN7" s="306"/>
      <c r="FO7" s="306"/>
      <c r="FP7" s="306"/>
      <c r="FQ7" s="306"/>
      <c r="FR7" s="306"/>
      <c r="FS7" s="306"/>
      <c r="FT7" s="306"/>
      <c r="FU7" s="306"/>
      <c r="FV7" s="306"/>
      <c r="FW7" s="306"/>
      <c r="FX7" s="306"/>
      <c r="FY7" s="306"/>
      <c r="FZ7" s="306"/>
      <c r="GA7" s="306"/>
      <c r="GB7" s="306"/>
      <c r="GC7" s="306"/>
      <c r="GD7" s="306"/>
      <c r="GE7" s="306"/>
      <c r="GF7" s="306"/>
      <c r="GG7" s="306"/>
      <c r="GH7" s="306"/>
      <c r="GI7" s="306"/>
      <c r="GJ7" s="306"/>
      <c r="GK7" s="306"/>
      <c r="GL7" s="306"/>
      <c r="GM7" s="306"/>
      <c r="GN7" s="306"/>
      <c r="GO7" s="306"/>
      <c r="GP7" s="306"/>
      <c r="GQ7" s="306"/>
      <c r="GR7" s="306"/>
      <c r="GS7" s="306"/>
      <c r="GT7" s="306"/>
      <c r="GU7" s="306"/>
      <c r="GV7" s="306"/>
      <c r="GW7" s="306"/>
      <c r="GX7" s="306"/>
      <c r="GY7" s="306"/>
      <c r="GZ7" s="306"/>
      <c r="HA7" s="306"/>
      <c r="HB7" s="306"/>
      <c r="HC7" s="306"/>
      <c r="HD7" s="306"/>
      <c r="HE7" s="306"/>
      <c r="HF7" s="306"/>
      <c r="HG7" s="306"/>
      <c r="HH7" s="306"/>
      <c r="HI7" s="306"/>
      <c r="HJ7" s="306"/>
      <c r="HK7" s="306"/>
      <c r="HL7" s="306"/>
      <c r="HM7" s="306"/>
      <c r="HN7" s="306"/>
      <c r="HO7" s="306"/>
      <c r="HP7" s="306"/>
      <c r="HQ7" s="306"/>
      <c r="HR7" s="306"/>
      <c r="HS7" s="306"/>
      <c r="HT7" s="306"/>
      <c r="HU7" s="306"/>
      <c r="HV7" s="306"/>
      <c r="HW7" s="306"/>
      <c r="HX7" s="306"/>
      <c r="HY7" s="306"/>
      <c r="HZ7" s="306"/>
      <c r="IA7" s="306"/>
      <c r="IB7" s="306"/>
    </row>
    <row r="8" spans="1:236">
      <c r="A8" s="7"/>
      <c r="B8" s="21"/>
      <c r="C8" s="21"/>
      <c r="D8" s="614"/>
      <c r="E8" s="349"/>
      <c r="F8" s="353"/>
      <c r="G8" s="21"/>
      <c r="H8" s="614"/>
      <c r="I8" s="349"/>
      <c r="J8" s="658"/>
      <c r="K8" s="21"/>
      <c r="L8" s="623"/>
      <c r="M8" s="349"/>
      <c r="N8" s="623"/>
      <c r="O8" s="623"/>
      <c r="P8" s="623"/>
      <c r="Q8" s="645"/>
      <c r="R8" s="623"/>
      <c r="S8" s="623"/>
      <c r="T8" s="623"/>
      <c r="U8" s="645"/>
      <c r="V8" s="623"/>
      <c r="W8" s="623"/>
      <c r="X8" s="623"/>
      <c r="Y8" s="645"/>
      <c r="Z8" s="623"/>
      <c r="AA8" s="623"/>
      <c r="AB8" s="623"/>
      <c r="AC8" s="645"/>
      <c r="AD8" s="623"/>
      <c r="AE8" s="21"/>
      <c r="AF8" s="353"/>
      <c r="AG8" s="349"/>
      <c r="AH8" s="353"/>
      <c r="AI8" s="353"/>
      <c r="AJ8" s="353"/>
      <c r="AK8" s="349"/>
      <c r="AL8" s="353"/>
      <c r="AM8" s="353"/>
      <c r="AN8" s="353"/>
      <c r="AO8" s="349"/>
      <c r="AP8" s="353"/>
      <c r="AQ8" s="21"/>
      <c r="AR8" s="353"/>
      <c r="AS8" s="349"/>
      <c r="AT8" s="353"/>
      <c r="AU8" s="353"/>
      <c r="AV8" s="353"/>
      <c r="AW8" s="349"/>
      <c r="AX8" s="353"/>
      <c r="AY8" s="353"/>
      <c r="AZ8" s="353"/>
      <c r="BA8" s="349"/>
      <c r="BB8" s="353"/>
      <c r="BC8" s="353"/>
      <c r="BD8" s="353"/>
      <c r="BE8" s="349"/>
      <c r="BF8" s="353"/>
      <c r="BG8" s="353"/>
      <c r="BH8" s="353"/>
      <c r="BI8" s="349"/>
      <c r="BJ8" s="353"/>
      <c r="BK8" s="353"/>
      <c r="BL8" s="353"/>
      <c r="BM8" s="349"/>
      <c r="BN8" s="353"/>
      <c r="BO8" s="353"/>
      <c r="BP8" s="353"/>
      <c r="BQ8" s="349"/>
      <c r="BR8" s="353"/>
      <c r="BS8" s="353"/>
      <c r="BT8" s="353"/>
      <c r="BU8" s="349"/>
      <c r="BV8" s="353"/>
      <c r="BW8" s="353"/>
      <c r="BX8" s="353"/>
      <c r="BY8" s="353"/>
      <c r="BZ8" s="349"/>
      <c r="CA8" s="353"/>
      <c r="CB8" s="353"/>
      <c r="CC8" s="353"/>
      <c r="CD8" s="349"/>
      <c r="CE8" s="353"/>
      <c r="CF8" s="353"/>
      <c r="CG8" s="353"/>
      <c r="CH8" s="353"/>
      <c r="CI8" s="349"/>
      <c r="CJ8" s="353"/>
      <c r="CK8" s="353"/>
      <c r="CL8" s="353"/>
      <c r="CM8" s="353"/>
      <c r="CN8" s="349"/>
      <c r="CO8" s="353"/>
      <c r="CP8" s="353"/>
      <c r="CQ8" s="353"/>
      <c r="CR8" s="353"/>
      <c r="CS8" s="349"/>
      <c r="CT8" s="353"/>
      <c r="CU8" s="353"/>
      <c r="CV8" s="353"/>
      <c r="CW8" s="349"/>
      <c r="CX8" s="353"/>
      <c r="CY8" s="353"/>
      <c r="CZ8" s="353"/>
      <c r="DA8" s="341"/>
      <c r="DB8" s="353"/>
      <c r="DC8" s="341"/>
      <c r="DD8" s="353"/>
      <c r="DE8" s="341"/>
      <c r="DF8" s="353"/>
      <c r="DG8" s="341"/>
      <c r="DH8" s="353"/>
      <c r="DI8" s="349"/>
      <c r="DJ8" s="353"/>
      <c r="DK8" s="349"/>
      <c r="DL8" s="353"/>
      <c r="DM8" s="349"/>
      <c r="DN8" s="353"/>
      <c r="DO8" s="349"/>
      <c r="DP8" s="353"/>
      <c r="DQ8" s="349"/>
      <c r="DR8" s="353"/>
      <c r="DS8" s="349"/>
      <c r="DT8" s="353"/>
      <c r="DU8" s="349"/>
      <c r="DV8" s="353"/>
      <c r="DW8" s="349"/>
      <c r="DX8" s="353"/>
      <c r="DY8" s="349"/>
      <c r="DZ8" s="353"/>
      <c r="EA8" s="349"/>
      <c r="EB8" s="354"/>
      <c r="EC8" s="349"/>
      <c r="ED8" s="354"/>
      <c r="EE8" s="349"/>
      <c r="EF8" s="354"/>
      <c r="EG8" s="349"/>
      <c r="EH8" s="354"/>
      <c r="EI8" s="349"/>
      <c r="EJ8" s="354"/>
      <c r="EK8" s="306"/>
      <c r="EL8" s="354"/>
      <c r="EM8" s="306"/>
      <c r="EN8" s="354"/>
      <c r="EO8" s="306"/>
      <c r="EP8" s="354"/>
      <c r="EQ8" s="306"/>
      <c r="ER8" s="354"/>
      <c r="ES8" s="306"/>
      <c r="ET8" s="354"/>
      <c r="EU8" s="306"/>
      <c r="EV8" s="354"/>
      <c r="EW8" s="306"/>
      <c r="EX8" s="354"/>
      <c r="EY8" s="306"/>
      <c r="EZ8" s="354"/>
      <c r="FA8" s="306"/>
      <c r="FB8" s="354"/>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c r="HT8" s="306"/>
      <c r="HU8" s="306"/>
      <c r="HV8" s="306"/>
      <c r="HW8" s="306"/>
      <c r="HX8" s="306"/>
      <c r="HY8" s="306"/>
      <c r="HZ8" s="306"/>
      <c r="IA8" s="306"/>
      <c r="IB8" s="306"/>
    </row>
    <row r="9" spans="1:236">
      <c r="A9" s="7"/>
      <c r="B9" s="21"/>
      <c r="C9" s="21"/>
      <c r="D9" s="614"/>
      <c r="E9" s="337"/>
      <c r="F9" s="353"/>
      <c r="G9" s="21"/>
      <c r="H9" s="614"/>
      <c r="I9" s="337"/>
      <c r="J9" s="658"/>
      <c r="K9" s="21"/>
      <c r="L9" s="623"/>
      <c r="M9" s="337"/>
      <c r="N9" s="623"/>
      <c r="O9" s="623"/>
      <c r="P9" s="623"/>
      <c r="Q9" s="642"/>
      <c r="R9" s="623"/>
      <c r="S9" s="623"/>
      <c r="T9" s="623"/>
      <c r="U9" s="642"/>
      <c r="V9" s="623"/>
      <c r="W9" s="623"/>
      <c r="X9" s="623"/>
      <c r="Y9" s="642"/>
      <c r="Z9" s="623"/>
      <c r="AA9" s="623"/>
      <c r="AB9" s="623"/>
      <c r="AC9" s="642"/>
      <c r="AD9" s="623"/>
      <c r="AE9" s="21"/>
      <c r="AF9" s="353"/>
      <c r="AG9" s="337"/>
      <c r="AH9" s="353"/>
      <c r="AI9" s="353"/>
      <c r="AJ9" s="353"/>
      <c r="AK9" s="337"/>
      <c r="AL9" s="353"/>
      <c r="AM9" s="353"/>
      <c r="AN9" s="353"/>
      <c r="AO9" s="337"/>
      <c r="AP9" s="353"/>
      <c r="AQ9" s="21"/>
      <c r="AR9" s="353"/>
      <c r="AS9" s="337"/>
      <c r="AT9" s="353"/>
      <c r="AU9" s="353"/>
      <c r="AV9" s="353"/>
      <c r="AW9" s="337"/>
      <c r="AX9" s="353"/>
      <c r="AY9" s="353"/>
      <c r="AZ9" s="353"/>
      <c r="BA9" s="337"/>
      <c r="BB9" s="353"/>
      <c r="BC9" s="353"/>
      <c r="BD9" s="353"/>
      <c r="BE9" s="337"/>
      <c r="BF9" s="353"/>
      <c r="BG9" s="353"/>
      <c r="BH9" s="353"/>
      <c r="BI9" s="337"/>
      <c r="BJ9" s="353"/>
      <c r="BK9" s="353"/>
      <c r="BL9" s="353"/>
      <c r="BM9" s="337"/>
      <c r="BN9" s="353"/>
      <c r="BO9" s="353"/>
      <c r="BP9" s="353"/>
      <c r="BQ9" s="337"/>
      <c r="BR9" s="353"/>
      <c r="BS9" s="353"/>
      <c r="BT9" s="353"/>
      <c r="BU9" s="337"/>
      <c r="BV9" s="353"/>
      <c r="BW9" s="353"/>
      <c r="BX9" s="353"/>
      <c r="BY9" s="353"/>
      <c r="BZ9" s="337"/>
      <c r="CA9" s="353"/>
      <c r="CB9" s="353"/>
      <c r="CC9" s="353"/>
      <c r="CD9" s="337"/>
      <c r="CE9" s="353"/>
      <c r="CF9" s="353"/>
      <c r="CG9" s="353"/>
      <c r="CH9" s="353"/>
      <c r="CI9" s="337"/>
      <c r="CJ9" s="353"/>
      <c r="CK9" s="353"/>
      <c r="CL9" s="353"/>
      <c r="CM9" s="353"/>
      <c r="CN9" s="337"/>
      <c r="CO9" s="353"/>
      <c r="CP9" s="353"/>
      <c r="CQ9" s="353"/>
      <c r="CR9" s="353"/>
      <c r="CS9" s="337"/>
      <c r="CT9" s="353"/>
      <c r="CU9" s="353"/>
      <c r="CV9" s="353"/>
      <c r="CW9" s="337"/>
      <c r="CX9" s="353"/>
      <c r="CY9" s="353"/>
      <c r="CZ9" s="353"/>
      <c r="DA9" s="341"/>
      <c r="DB9" s="353"/>
      <c r="DC9" s="341"/>
      <c r="DD9" s="353"/>
      <c r="DE9" s="341"/>
      <c r="DF9" s="353"/>
      <c r="DG9" s="341"/>
      <c r="DH9" s="353"/>
      <c r="DI9" s="337"/>
      <c r="DJ9" s="353"/>
      <c r="DK9" s="337"/>
      <c r="DL9" s="353"/>
      <c r="DM9" s="337"/>
      <c r="DN9" s="353"/>
      <c r="DO9" s="337"/>
      <c r="DP9" s="353"/>
      <c r="DQ9" s="337"/>
      <c r="DR9" s="353"/>
      <c r="DS9" s="337"/>
      <c r="DT9" s="353"/>
      <c r="DU9" s="337"/>
      <c r="DV9" s="353"/>
      <c r="DW9" s="337"/>
      <c r="DX9" s="353"/>
      <c r="DY9" s="337"/>
      <c r="DZ9" s="353"/>
      <c r="EA9" s="337"/>
      <c r="EB9" s="354"/>
      <c r="EC9" s="337"/>
      <c r="ED9" s="354"/>
      <c r="EE9" s="337"/>
      <c r="EF9" s="354"/>
      <c r="EG9" s="337"/>
      <c r="EH9" s="354"/>
      <c r="EI9" s="349"/>
      <c r="EJ9" s="354"/>
      <c r="EK9" s="306"/>
      <c r="EL9" s="354"/>
      <c r="EM9" s="306"/>
      <c r="EN9" s="354"/>
      <c r="EO9" s="306"/>
      <c r="EP9" s="354"/>
      <c r="EQ9" s="306"/>
      <c r="ER9" s="354"/>
      <c r="ES9" s="306"/>
      <c r="ET9" s="354"/>
      <c r="EU9" s="306"/>
      <c r="EV9" s="354"/>
      <c r="EW9" s="306"/>
      <c r="EX9" s="354"/>
      <c r="EY9" s="306"/>
      <c r="EZ9" s="354"/>
      <c r="FA9" s="306"/>
      <c r="FB9" s="354"/>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row>
    <row r="10" spans="1:236">
      <c r="A10" s="16"/>
      <c r="B10" s="14"/>
      <c r="C10" s="14"/>
      <c r="D10" s="116"/>
      <c r="E10" s="355"/>
      <c r="F10" s="341"/>
      <c r="G10" s="14"/>
      <c r="H10" s="116"/>
      <c r="I10" s="355"/>
      <c r="J10" s="659"/>
      <c r="K10" s="14"/>
      <c r="L10" s="624"/>
      <c r="M10" s="355"/>
      <c r="N10" s="624"/>
      <c r="O10" s="624"/>
      <c r="P10" s="624"/>
      <c r="Q10" s="646"/>
      <c r="R10" s="624"/>
      <c r="S10" s="624"/>
      <c r="T10" s="624"/>
      <c r="U10" s="646"/>
      <c r="V10" s="624"/>
      <c r="W10" s="624"/>
      <c r="X10" s="624"/>
      <c r="Y10" s="646"/>
      <c r="Z10" s="624"/>
      <c r="AA10" s="624"/>
      <c r="AB10" s="624"/>
      <c r="AC10" s="646"/>
      <c r="AD10" s="624"/>
      <c r="AE10" s="14"/>
      <c r="AF10" s="341"/>
      <c r="AG10" s="355"/>
      <c r="AH10" s="341"/>
      <c r="AI10" s="341"/>
      <c r="AJ10" s="341"/>
      <c r="AK10" s="355"/>
      <c r="AL10" s="341"/>
      <c r="AM10" s="341"/>
      <c r="AN10" s="341"/>
      <c r="AO10" s="355"/>
      <c r="AP10" s="341"/>
      <c r="AQ10" s="14"/>
      <c r="AR10" s="341"/>
      <c r="AS10" s="355"/>
      <c r="AT10" s="341"/>
      <c r="AU10" s="341"/>
      <c r="AV10" s="341"/>
      <c r="AW10" s="355"/>
      <c r="AX10" s="341"/>
      <c r="AY10" s="341"/>
      <c r="AZ10" s="341"/>
      <c r="BA10" s="355"/>
      <c r="BB10" s="341"/>
      <c r="BC10" s="341"/>
      <c r="BD10" s="341"/>
      <c r="BE10" s="355"/>
      <c r="BF10" s="341"/>
      <c r="BG10" s="341"/>
      <c r="BH10" s="341"/>
      <c r="BI10" s="355"/>
      <c r="BJ10" s="341"/>
      <c r="BK10" s="341"/>
      <c r="BL10" s="341"/>
      <c r="BM10" s="355"/>
      <c r="BN10" s="341"/>
      <c r="BO10" s="341"/>
      <c r="BP10" s="341"/>
      <c r="BQ10" s="355"/>
      <c r="BR10" s="341"/>
      <c r="BS10" s="341"/>
      <c r="BT10" s="341"/>
      <c r="BU10" s="355"/>
      <c r="BV10" s="341"/>
      <c r="BW10" s="341"/>
      <c r="BX10" s="341"/>
      <c r="BY10" s="341"/>
      <c r="BZ10" s="355"/>
      <c r="CA10" s="341"/>
      <c r="CB10" s="341"/>
      <c r="CC10" s="341"/>
      <c r="CD10" s="355"/>
      <c r="CE10" s="341"/>
      <c r="CF10" s="341"/>
      <c r="CG10" s="341"/>
      <c r="CH10" s="341"/>
      <c r="CI10" s="355"/>
      <c r="CJ10" s="341"/>
      <c r="CK10" s="341"/>
      <c r="CL10" s="341"/>
      <c r="CM10" s="341"/>
      <c r="CN10" s="355"/>
      <c r="CO10" s="341"/>
      <c r="CP10" s="341"/>
      <c r="CQ10" s="341"/>
      <c r="CR10" s="341"/>
      <c r="CS10" s="355"/>
      <c r="CT10" s="341"/>
      <c r="CU10" s="341"/>
      <c r="CV10" s="341"/>
      <c r="CW10" s="355"/>
      <c r="CX10" s="341"/>
      <c r="CY10" s="341"/>
      <c r="CZ10" s="341"/>
      <c r="DA10" s="341"/>
      <c r="DB10" s="341"/>
      <c r="DC10" s="341"/>
      <c r="DD10" s="341"/>
      <c r="DE10" s="341"/>
      <c r="DF10" s="341"/>
      <c r="DG10" s="341"/>
      <c r="DH10" s="341"/>
      <c r="DI10" s="355"/>
      <c r="DJ10" s="341"/>
      <c r="DK10" s="355"/>
      <c r="DL10" s="341"/>
      <c r="DM10" s="355"/>
      <c r="DN10" s="341"/>
      <c r="DO10" s="355"/>
      <c r="DP10" s="341"/>
      <c r="DQ10" s="355"/>
      <c r="DR10" s="341"/>
      <c r="DS10" s="355"/>
      <c r="DT10" s="341"/>
      <c r="DU10" s="355"/>
      <c r="DV10" s="341"/>
      <c r="DW10" s="355"/>
      <c r="DX10" s="341"/>
      <c r="DY10" s="355"/>
      <c r="DZ10" s="341"/>
      <c r="EA10" s="355"/>
      <c r="EB10" s="337"/>
      <c r="EC10" s="355"/>
      <c r="ED10" s="337"/>
      <c r="EE10" s="355"/>
      <c r="EF10" s="337"/>
      <c r="EG10" s="355"/>
      <c r="EH10" s="337"/>
      <c r="EI10" s="337"/>
      <c r="EJ10" s="337"/>
      <c r="EK10" s="327"/>
      <c r="EL10" s="337"/>
      <c r="EM10" s="327"/>
      <c r="EN10" s="337"/>
      <c r="EO10" s="327"/>
      <c r="EP10" s="337"/>
      <c r="EQ10" s="327"/>
      <c r="ER10" s="337"/>
      <c r="ES10" s="327"/>
      <c r="ET10" s="337"/>
      <c r="EU10" s="327"/>
      <c r="EV10" s="337"/>
      <c r="EW10" s="327"/>
      <c r="EX10" s="337"/>
      <c r="EY10" s="327"/>
      <c r="EZ10" s="337"/>
      <c r="FA10" s="327"/>
      <c r="FB10" s="337"/>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row>
    <row r="11" spans="1:236">
      <c r="A11" s="16"/>
      <c r="B11" s="14"/>
      <c r="C11" s="14"/>
      <c r="D11" s="116"/>
      <c r="E11" s="316"/>
      <c r="F11" s="341"/>
      <c r="G11" s="14"/>
      <c r="H11" s="116"/>
      <c r="I11" s="316"/>
      <c r="J11" s="659"/>
      <c r="K11" s="14"/>
      <c r="L11" s="624"/>
      <c r="M11" s="316"/>
      <c r="N11" s="624"/>
      <c r="O11" s="624"/>
      <c r="P11" s="624"/>
      <c r="Q11" s="643"/>
      <c r="R11" s="624"/>
      <c r="S11" s="624"/>
      <c r="T11" s="624"/>
      <c r="U11" s="643"/>
      <c r="V11" s="624"/>
      <c r="W11" s="624"/>
      <c r="X11" s="624"/>
      <c r="Y11" s="643"/>
      <c r="Z11" s="624"/>
      <c r="AA11" s="624"/>
      <c r="AB11" s="624"/>
      <c r="AC11" s="643"/>
      <c r="AD11" s="624"/>
      <c r="AE11" s="14"/>
      <c r="AF11" s="341"/>
      <c r="AG11" s="316"/>
      <c r="AH11" s="341"/>
      <c r="AI11" s="341"/>
      <c r="AJ11" s="341"/>
      <c r="AK11" s="316"/>
      <c r="AL11" s="341"/>
      <c r="AM11" s="341"/>
      <c r="AN11" s="341"/>
      <c r="AO11" s="316"/>
      <c r="AP11" s="341"/>
      <c r="AQ11" s="14"/>
      <c r="AR11" s="341"/>
      <c r="AS11" s="316"/>
      <c r="AT11" s="341"/>
      <c r="AU11" s="341"/>
      <c r="AV11" s="341"/>
      <c r="AW11" s="316"/>
      <c r="AX11" s="341"/>
      <c r="AY11" s="341"/>
      <c r="AZ11" s="341"/>
      <c r="BA11" s="316"/>
      <c r="BB11" s="341"/>
      <c r="BC11" s="341"/>
      <c r="BD11" s="341"/>
      <c r="BE11" s="316"/>
      <c r="BF11" s="341"/>
      <c r="BG11" s="341"/>
      <c r="BH11" s="341"/>
      <c r="BI11" s="316"/>
      <c r="BJ11" s="341"/>
      <c r="BK11" s="341"/>
      <c r="BL11" s="341"/>
      <c r="BM11" s="316"/>
      <c r="BN11" s="341"/>
      <c r="BO11" s="341"/>
      <c r="BP11" s="341"/>
      <c r="BQ11" s="316"/>
      <c r="BR11" s="341"/>
      <c r="BS11" s="341"/>
      <c r="BT11" s="341"/>
      <c r="BU11" s="316"/>
      <c r="BV11" s="341"/>
      <c r="BW11" s="341"/>
      <c r="BX11" s="341"/>
      <c r="BY11" s="341"/>
      <c r="BZ11" s="316"/>
      <c r="CA11" s="341"/>
      <c r="CB11" s="341"/>
      <c r="CC11" s="341"/>
      <c r="CD11" s="316"/>
      <c r="CE11" s="341"/>
      <c r="CF11" s="341"/>
      <c r="CG11" s="341"/>
      <c r="CH11" s="341"/>
      <c r="CI11" s="316"/>
      <c r="CJ11" s="341"/>
      <c r="CK11" s="341"/>
      <c r="CL11" s="341"/>
      <c r="CM11" s="341"/>
      <c r="CN11" s="316"/>
      <c r="CO11" s="341"/>
      <c r="CP11" s="341"/>
      <c r="CQ11" s="341"/>
      <c r="CR11" s="341"/>
      <c r="CS11" s="316"/>
      <c r="CT11" s="341"/>
      <c r="CU11" s="341"/>
      <c r="CV11" s="341"/>
      <c r="CW11" s="316"/>
      <c r="CX11" s="341"/>
      <c r="CY11" s="341"/>
      <c r="CZ11" s="341"/>
      <c r="DA11" s="341"/>
      <c r="DB11" s="341"/>
      <c r="DC11" s="341"/>
      <c r="DD11" s="341"/>
      <c r="DE11" s="341"/>
      <c r="DF11" s="341"/>
      <c r="DG11" s="341"/>
      <c r="DH11" s="341"/>
      <c r="DI11" s="316"/>
      <c r="DJ11" s="341"/>
      <c r="DK11" s="316"/>
      <c r="DL11" s="341"/>
      <c r="DM11" s="316"/>
      <c r="DN11" s="341"/>
      <c r="DO11" s="316"/>
      <c r="DP11" s="341"/>
      <c r="DQ11" s="316"/>
      <c r="DR11" s="341"/>
      <c r="DS11" s="316"/>
      <c r="DT11" s="341"/>
      <c r="DU11" s="316"/>
      <c r="DV11" s="341"/>
      <c r="DW11" s="316"/>
      <c r="DX11" s="341"/>
      <c r="DY11" s="316"/>
      <c r="DZ11" s="341"/>
      <c r="EA11" s="316"/>
      <c r="EB11" s="355"/>
      <c r="EC11" s="316"/>
      <c r="ED11" s="355"/>
      <c r="EE11" s="316"/>
      <c r="EF11" s="355"/>
      <c r="EG11" s="316"/>
      <c r="EH11" s="355"/>
      <c r="EI11" s="355"/>
      <c r="EJ11" s="355"/>
      <c r="EK11" s="327"/>
      <c r="EL11" s="355"/>
      <c r="EM11" s="327"/>
      <c r="EN11" s="355"/>
      <c r="EO11" s="327"/>
      <c r="EP11" s="355"/>
      <c r="EQ11" s="327"/>
      <c r="ER11" s="355"/>
      <c r="ES11" s="327"/>
      <c r="ET11" s="355"/>
      <c r="EU11" s="327"/>
      <c r="EV11" s="355"/>
      <c r="EW11" s="327"/>
      <c r="EX11" s="355"/>
      <c r="EY11" s="327"/>
      <c r="EZ11" s="355"/>
      <c r="FA11" s="327"/>
      <c r="FB11" s="355"/>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row>
    <row r="12" spans="1:236">
      <c r="A12" s="16"/>
      <c r="B12" s="14"/>
      <c r="C12" s="14"/>
      <c r="D12" s="116"/>
      <c r="E12" s="356"/>
      <c r="F12" s="341"/>
      <c r="G12" s="14"/>
      <c r="H12" s="116"/>
      <c r="I12" s="356"/>
      <c r="J12" s="659"/>
      <c r="K12" s="14"/>
      <c r="L12" s="624"/>
      <c r="M12" s="356"/>
      <c r="N12" s="624"/>
      <c r="O12" s="624"/>
      <c r="P12" s="624"/>
      <c r="Q12" s="647"/>
      <c r="R12" s="624"/>
      <c r="S12" s="624"/>
      <c r="T12" s="624"/>
      <c r="U12" s="647"/>
      <c r="V12" s="624"/>
      <c r="W12" s="624"/>
      <c r="X12" s="624"/>
      <c r="Y12" s="647"/>
      <c r="Z12" s="624"/>
      <c r="AA12" s="624"/>
      <c r="AB12" s="624"/>
      <c r="AC12" s="647"/>
      <c r="AD12" s="624"/>
      <c r="AE12" s="14"/>
      <c r="AF12" s="341"/>
      <c r="AG12" s="356"/>
      <c r="AH12" s="341"/>
      <c r="AI12" s="341"/>
      <c r="AJ12" s="341"/>
      <c r="AK12" s="356"/>
      <c r="AL12" s="341"/>
      <c r="AM12" s="341"/>
      <c r="AN12" s="341"/>
      <c r="AO12" s="356"/>
      <c r="AP12" s="341"/>
      <c r="AQ12" s="14"/>
      <c r="AR12" s="341"/>
      <c r="AS12" s="356"/>
      <c r="AT12" s="341"/>
      <c r="AU12" s="341"/>
      <c r="AV12" s="341"/>
      <c r="AW12" s="356"/>
      <c r="AX12" s="341"/>
      <c r="AY12" s="341"/>
      <c r="AZ12" s="341"/>
      <c r="BA12" s="356"/>
      <c r="BB12" s="341"/>
      <c r="BC12" s="341"/>
      <c r="BD12" s="341"/>
      <c r="BE12" s="356"/>
      <c r="BF12" s="341"/>
      <c r="BG12" s="341"/>
      <c r="BH12" s="341"/>
      <c r="BI12" s="356"/>
      <c r="BJ12" s="341"/>
      <c r="BK12" s="341"/>
      <c r="BL12" s="341"/>
      <c r="BM12" s="356"/>
      <c r="BN12" s="341"/>
      <c r="BO12" s="341"/>
      <c r="BP12" s="341"/>
      <c r="BQ12" s="356"/>
      <c r="BR12" s="341"/>
      <c r="BS12" s="341"/>
      <c r="BT12" s="341"/>
      <c r="BU12" s="356"/>
      <c r="BV12" s="341"/>
      <c r="BW12" s="341"/>
      <c r="BX12" s="341"/>
      <c r="BY12" s="341"/>
      <c r="BZ12" s="356"/>
      <c r="CA12" s="341"/>
      <c r="CB12" s="341"/>
      <c r="CC12" s="341"/>
      <c r="CD12" s="356"/>
      <c r="CE12" s="341"/>
      <c r="CF12" s="341"/>
      <c r="CG12" s="341"/>
      <c r="CH12" s="341"/>
      <c r="CI12" s="356"/>
      <c r="CJ12" s="341"/>
      <c r="CK12" s="341"/>
      <c r="CL12" s="341"/>
      <c r="CM12" s="341"/>
      <c r="CN12" s="356"/>
      <c r="CO12" s="341"/>
      <c r="CP12" s="341"/>
      <c r="CQ12" s="341"/>
      <c r="CR12" s="341"/>
      <c r="CS12" s="356"/>
      <c r="CT12" s="341"/>
      <c r="CU12" s="341"/>
      <c r="CV12" s="341"/>
      <c r="CW12" s="356"/>
      <c r="CX12" s="341"/>
      <c r="CY12" s="341"/>
      <c r="CZ12" s="341"/>
      <c r="DA12" s="341"/>
      <c r="DB12" s="341"/>
      <c r="DC12" s="341"/>
      <c r="DD12" s="341"/>
      <c r="DE12" s="341"/>
      <c r="DF12" s="341"/>
      <c r="DG12" s="341"/>
      <c r="DH12" s="341"/>
      <c r="DI12" s="356"/>
      <c r="DJ12" s="341"/>
      <c r="DK12" s="356"/>
      <c r="DL12" s="341"/>
      <c r="DM12" s="356"/>
      <c r="DN12" s="341"/>
      <c r="DO12" s="356"/>
      <c r="DP12" s="341"/>
      <c r="DQ12" s="356"/>
      <c r="DR12" s="341"/>
      <c r="DS12" s="356"/>
      <c r="DT12" s="341"/>
      <c r="DU12" s="356"/>
      <c r="DV12" s="341"/>
      <c r="DW12" s="356"/>
      <c r="DX12" s="341"/>
      <c r="DY12" s="356"/>
      <c r="DZ12" s="341"/>
      <c r="EA12" s="356"/>
      <c r="EB12" s="316"/>
      <c r="EC12" s="356"/>
      <c r="ED12" s="316"/>
      <c r="EE12" s="356"/>
      <c r="EF12" s="316"/>
      <c r="EG12" s="356"/>
      <c r="EH12" s="316"/>
      <c r="EI12" s="316"/>
      <c r="EJ12" s="316"/>
      <c r="EK12" s="327"/>
      <c r="EL12" s="316"/>
      <c r="EM12" s="327"/>
      <c r="EN12" s="316"/>
      <c r="EO12" s="327"/>
      <c r="EP12" s="316"/>
      <c r="EQ12" s="327"/>
      <c r="ER12" s="357"/>
      <c r="ES12" s="327"/>
      <c r="ET12" s="316"/>
      <c r="EU12" s="327"/>
      <c r="EV12" s="357"/>
      <c r="EW12" s="327"/>
      <c r="EX12" s="316"/>
      <c r="EY12" s="327"/>
      <c r="EZ12" s="357"/>
      <c r="FA12" s="327"/>
      <c r="FB12" s="31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row>
    <row r="13" spans="1:236">
      <c r="A13" s="16"/>
      <c r="B13" s="14"/>
      <c r="C13" s="14"/>
      <c r="D13" s="116"/>
      <c r="E13" s="337"/>
      <c r="F13" s="341"/>
      <c r="G13" s="14"/>
      <c r="H13" s="116"/>
      <c r="I13" s="337"/>
      <c r="J13" s="659"/>
      <c r="K13" s="14"/>
      <c r="L13" s="624"/>
      <c r="M13" s="337"/>
      <c r="N13" s="624"/>
      <c r="O13" s="624"/>
      <c r="P13" s="624"/>
      <c r="Q13" s="642"/>
      <c r="R13" s="624"/>
      <c r="S13" s="624"/>
      <c r="T13" s="624"/>
      <c r="U13" s="642"/>
      <c r="V13" s="624"/>
      <c r="W13" s="624"/>
      <c r="X13" s="624"/>
      <c r="Y13" s="642"/>
      <c r="Z13" s="624"/>
      <c r="AA13" s="624"/>
      <c r="AB13" s="624"/>
      <c r="AC13" s="642"/>
      <c r="AD13" s="624"/>
      <c r="AE13" s="14"/>
      <c r="AF13" s="341"/>
      <c r="AG13" s="337"/>
      <c r="AH13" s="341"/>
      <c r="AI13" s="341"/>
      <c r="AJ13" s="341"/>
      <c r="AK13" s="337"/>
      <c r="AL13" s="341"/>
      <c r="AM13" s="341"/>
      <c r="AN13" s="341"/>
      <c r="AO13" s="337"/>
      <c r="AP13" s="341"/>
      <c r="AQ13" s="14"/>
      <c r="AR13" s="341"/>
      <c r="AS13" s="337"/>
      <c r="AT13" s="341"/>
      <c r="AU13" s="341"/>
      <c r="AV13" s="341"/>
      <c r="AW13" s="337"/>
      <c r="AX13" s="341"/>
      <c r="AY13" s="341"/>
      <c r="AZ13" s="341"/>
      <c r="BA13" s="337"/>
      <c r="BB13" s="341"/>
      <c r="BC13" s="341"/>
      <c r="BD13" s="341"/>
      <c r="BE13" s="337"/>
      <c r="BF13" s="341"/>
      <c r="BG13" s="341"/>
      <c r="BH13" s="341"/>
      <c r="BI13" s="337"/>
      <c r="BJ13" s="341"/>
      <c r="BK13" s="341"/>
      <c r="BL13" s="341"/>
      <c r="BM13" s="337"/>
      <c r="BN13" s="341"/>
      <c r="BO13" s="341"/>
      <c r="BP13" s="341"/>
      <c r="BQ13" s="337"/>
      <c r="BR13" s="341"/>
      <c r="BS13" s="341"/>
      <c r="BT13" s="341"/>
      <c r="BU13" s="337"/>
      <c r="BV13" s="341"/>
      <c r="BW13" s="341"/>
      <c r="BX13" s="341"/>
      <c r="BY13" s="341"/>
      <c r="BZ13" s="337"/>
      <c r="CA13" s="341"/>
      <c r="CB13" s="341"/>
      <c r="CC13" s="341"/>
      <c r="CD13" s="337"/>
      <c r="CE13" s="341"/>
      <c r="CF13" s="341"/>
      <c r="CG13" s="341"/>
      <c r="CH13" s="341"/>
      <c r="CI13" s="337"/>
      <c r="CJ13" s="341"/>
      <c r="CK13" s="341"/>
      <c r="CL13" s="341"/>
      <c r="CM13" s="341"/>
      <c r="CN13" s="337"/>
      <c r="CO13" s="341"/>
      <c r="CP13" s="341"/>
      <c r="CQ13" s="341"/>
      <c r="CR13" s="341"/>
      <c r="CS13" s="337"/>
      <c r="CT13" s="341"/>
      <c r="CU13" s="341"/>
      <c r="CV13" s="341"/>
      <c r="CW13" s="337"/>
      <c r="CX13" s="341"/>
      <c r="CY13" s="341"/>
      <c r="CZ13" s="341"/>
      <c r="DA13" s="341"/>
      <c r="DB13" s="341"/>
      <c r="DC13" s="341"/>
      <c r="DD13" s="341"/>
      <c r="DE13" s="341"/>
      <c r="DF13" s="341"/>
      <c r="DG13" s="341"/>
      <c r="DH13" s="341"/>
      <c r="DI13" s="337"/>
      <c r="DJ13" s="341"/>
      <c r="DK13" s="337"/>
      <c r="DL13" s="341"/>
      <c r="DM13" s="337"/>
      <c r="DN13" s="341"/>
      <c r="DO13" s="337"/>
      <c r="DP13" s="341"/>
      <c r="DQ13" s="337"/>
      <c r="DR13" s="341"/>
      <c r="DS13" s="337"/>
      <c r="DT13" s="341"/>
      <c r="DU13" s="337"/>
      <c r="DV13" s="341"/>
      <c r="DW13" s="337"/>
      <c r="DX13" s="341"/>
      <c r="DY13" s="337"/>
      <c r="DZ13" s="341"/>
      <c r="EA13" s="337"/>
      <c r="EB13" s="356"/>
      <c r="EC13" s="337"/>
      <c r="ED13" s="356"/>
      <c r="EE13" s="337"/>
      <c r="EF13" s="356"/>
      <c r="EG13" s="337"/>
      <c r="EH13" s="356"/>
      <c r="EI13" s="356"/>
      <c r="EJ13" s="356"/>
      <c r="EK13" s="327"/>
      <c r="EL13" s="356"/>
      <c r="EM13" s="327"/>
      <c r="EN13" s="356"/>
      <c r="EO13" s="327"/>
      <c r="EP13" s="356"/>
      <c r="EQ13" s="327"/>
      <c r="ER13" s="356"/>
      <c r="ES13" s="327"/>
      <c r="ET13" s="356"/>
      <c r="EU13" s="327"/>
      <c r="EV13" s="356"/>
      <c r="EW13" s="327"/>
      <c r="EX13" s="356"/>
      <c r="EY13" s="327"/>
      <c r="EZ13" s="356"/>
      <c r="FA13" s="327"/>
      <c r="FB13" s="35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row>
    <row r="14" spans="1:236">
      <c r="A14" s="16"/>
      <c r="B14" s="14"/>
      <c r="C14" s="14"/>
      <c r="D14" s="116"/>
      <c r="E14" s="347"/>
      <c r="F14" s="341"/>
      <c r="G14" s="14"/>
      <c r="H14" s="116"/>
      <c r="I14" s="347"/>
      <c r="J14" s="659"/>
      <c r="K14" s="14"/>
      <c r="L14" s="624"/>
      <c r="M14" s="347"/>
      <c r="N14" s="624"/>
      <c r="O14" s="624"/>
      <c r="P14" s="624"/>
      <c r="Q14" s="289"/>
      <c r="R14" s="624"/>
      <c r="S14" s="624"/>
      <c r="T14" s="624"/>
      <c r="U14" s="289"/>
      <c r="V14" s="624"/>
      <c r="W14" s="624"/>
      <c r="X14" s="624"/>
      <c r="Y14" s="289"/>
      <c r="Z14" s="624"/>
      <c r="AA14" s="624"/>
      <c r="AB14" s="624"/>
      <c r="AC14" s="289"/>
      <c r="AD14" s="624"/>
      <c r="AE14" s="14"/>
      <c r="AF14" s="341"/>
      <c r="AG14" s="347"/>
      <c r="AH14" s="341"/>
      <c r="AI14" s="341"/>
      <c r="AJ14" s="341"/>
      <c r="AK14" s="347"/>
      <c r="AL14" s="341"/>
      <c r="AM14" s="341"/>
      <c r="AN14" s="341"/>
      <c r="AO14" s="347"/>
      <c r="AP14" s="341"/>
      <c r="AQ14" s="14"/>
      <c r="AR14" s="341"/>
      <c r="AS14" s="347"/>
      <c r="AT14" s="341"/>
      <c r="AU14" s="341"/>
      <c r="AV14" s="341"/>
      <c r="AW14" s="347"/>
      <c r="AX14" s="341"/>
      <c r="AY14" s="341"/>
      <c r="AZ14" s="341"/>
      <c r="BA14" s="347"/>
      <c r="BB14" s="341"/>
      <c r="BC14" s="341"/>
      <c r="BD14" s="341"/>
      <c r="BE14" s="347"/>
      <c r="BF14" s="341"/>
      <c r="BG14" s="341"/>
      <c r="BH14" s="341"/>
      <c r="BI14" s="347"/>
      <c r="BJ14" s="341"/>
      <c r="BK14" s="341"/>
      <c r="BL14" s="341"/>
      <c r="BM14" s="347"/>
      <c r="BN14" s="341"/>
      <c r="BO14" s="341"/>
      <c r="BP14" s="341"/>
      <c r="BQ14" s="347"/>
      <c r="BR14" s="341"/>
      <c r="BS14" s="341"/>
      <c r="BT14" s="341"/>
      <c r="BU14" s="347"/>
      <c r="BV14" s="341"/>
      <c r="BW14" s="341"/>
      <c r="BX14" s="341"/>
      <c r="BY14" s="341"/>
      <c r="BZ14" s="347"/>
      <c r="CA14" s="341"/>
      <c r="CB14" s="341"/>
      <c r="CC14" s="341"/>
      <c r="CD14" s="347"/>
      <c r="CE14" s="341"/>
      <c r="CF14" s="341"/>
      <c r="CG14" s="341"/>
      <c r="CH14" s="341"/>
      <c r="CI14" s="347"/>
      <c r="CJ14" s="341"/>
      <c r="CK14" s="341"/>
      <c r="CL14" s="341"/>
      <c r="CM14" s="341"/>
      <c r="CN14" s="347"/>
      <c r="CO14" s="341"/>
      <c r="CP14" s="341"/>
      <c r="CQ14" s="341"/>
      <c r="CR14" s="341"/>
      <c r="CS14" s="347"/>
      <c r="CT14" s="341"/>
      <c r="CU14" s="341"/>
      <c r="CV14" s="341"/>
      <c r="CW14" s="347"/>
      <c r="CX14" s="341"/>
      <c r="CY14" s="341"/>
      <c r="CZ14" s="341"/>
      <c r="DA14" s="341"/>
      <c r="DB14" s="341"/>
      <c r="DC14" s="341"/>
      <c r="DD14" s="341"/>
      <c r="DE14" s="341"/>
      <c r="DF14" s="341"/>
      <c r="DG14" s="341"/>
      <c r="DH14" s="341"/>
      <c r="DI14" s="347"/>
      <c r="DJ14" s="341"/>
      <c r="DK14" s="347"/>
      <c r="DL14" s="341"/>
      <c r="DM14" s="347"/>
      <c r="DN14" s="341"/>
      <c r="DO14" s="347"/>
      <c r="DP14" s="341"/>
      <c r="DQ14" s="347"/>
      <c r="DR14" s="341"/>
      <c r="DS14" s="347"/>
      <c r="DT14" s="341"/>
      <c r="DU14" s="347"/>
      <c r="DV14" s="341"/>
      <c r="DW14" s="347"/>
      <c r="DX14" s="341"/>
      <c r="DY14" s="347"/>
      <c r="DZ14" s="341"/>
      <c r="EA14" s="347"/>
      <c r="EB14" s="337"/>
      <c r="EC14" s="347"/>
      <c r="ED14" s="337"/>
      <c r="EE14" s="347"/>
      <c r="EF14" s="337"/>
      <c r="EG14" s="347"/>
      <c r="EH14" s="337"/>
      <c r="EI14" s="337"/>
      <c r="EJ14" s="337"/>
      <c r="EK14" s="327"/>
      <c r="EL14" s="337"/>
      <c r="EM14" s="327"/>
      <c r="EN14" s="337"/>
      <c r="EO14" s="327"/>
      <c r="EP14" s="337"/>
      <c r="EQ14" s="327"/>
      <c r="ER14" s="337"/>
      <c r="ES14" s="327"/>
      <c r="ET14" s="337"/>
      <c r="EU14" s="327"/>
      <c r="EV14" s="337"/>
      <c r="EW14" s="327"/>
      <c r="EX14" s="337"/>
      <c r="EY14" s="327"/>
      <c r="EZ14" s="337"/>
      <c r="FA14" s="327"/>
      <c r="FB14" s="337"/>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row>
    <row r="15" spans="1:236">
      <c r="A15" s="16"/>
      <c r="B15" s="14"/>
      <c r="C15" s="14"/>
      <c r="D15" s="116"/>
      <c r="E15" s="327"/>
      <c r="F15" s="341"/>
      <c r="G15" s="14"/>
      <c r="H15" s="116"/>
      <c r="I15" s="327"/>
      <c r="J15" s="659"/>
      <c r="K15" s="14"/>
      <c r="L15" s="624"/>
      <c r="M15" s="327"/>
      <c r="N15" s="624"/>
      <c r="O15" s="624"/>
      <c r="P15" s="624"/>
      <c r="Q15" s="648"/>
      <c r="R15" s="624"/>
      <c r="S15" s="624"/>
      <c r="T15" s="624"/>
      <c r="U15" s="648"/>
      <c r="V15" s="624"/>
      <c r="W15" s="624"/>
      <c r="X15" s="624"/>
      <c r="Y15" s="648"/>
      <c r="Z15" s="624"/>
      <c r="AA15" s="624"/>
      <c r="AB15" s="624"/>
      <c r="AC15" s="648"/>
      <c r="AD15" s="624"/>
      <c r="AE15" s="14"/>
      <c r="AF15" s="341"/>
      <c r="AG15" s="327"/>
      <c r="AH15" s="341"/>
      <c r="AI15" s="341"/>
      <c r="AJ15" s="341"/>
      <c r="AK15" s="327"/>
      <c r="AL15" s="341"/>
      <c r="AM15" s="341"/>
      <c r="AN15" s="341"/>
      <c r="AO15" s="327"/>
      <c r="AP15" s="341"/>
      <c r="AQ15" s="14"/>
      <c r="AR15" s="341"/>
      <c r="AS15" s="327"/>
      <c r="AT15" s="341"/>
      <c r="AU15" s="341"/>
      <c r="AV15" s="341"/>
      <c r="AW15" s="327"/>
      <c r="AX15" s="341"/>
      <c r="AY15" s="341"/>
      <c r="AZ15" s="341"/>
      <c r="BA15" s="327"/>
      <c r="BB15" s="341"/>
      <c r="BC15" s="341"/>
      <c r="BD15" s="341"/>
      <c r="BE15" s="327"/>
      <c r="BF15" s="341"/>
      <c r="BG15" s="341"/>
      <c r="BH15" s="341"/>
      <c r="BI15" s="327"/>
      <c r="BJ15" s="341"/>
      <c r="BK15" s="341"/>
      <c r="BL15" s="341"/>
      <c r="BM15" s="327"/>
      <c r="BN15" s="341"/>
      <c r="BO15" s="341"/>
      <c r="BP15" s="341"/>
      <c r="BQ15" s="327"/>
      <c r="BR15" s="341"/>
      <c r="BS15" s="341"/>
      <c r="BT15" s="341"/>
      <c r="BU15" s="327"/>
      <c r="BV15" s="341"/>
      <c r="BW15" s="341"/>
      <c r="BX15" s="341"/>
      <c r="BY15" s="341"/>
      <c r="BZ15" s="327"/>
      <c r="CA15" s="341"/>
      <c r="CB15" s="341"/>
      <c r="CC15" s="341"/>
      <c r="CD15" s="327"/>
      <c r="CE15" s="341"/>
      <c r="CF15" s="341"/>
      <c r="CG15" s="341"/>
      <c r="CH15" s="341"/>
      <c r="CI15" s="327"/>
      <c r="CJ15" s="341"/>
      <c r="CK15" s="341"/>
      <c r="CL15" s="341"/>
      <c r="CM15" s="341"/>
      <c r="CN15" s="327"/>
      <c r="CO15" s="341"/>
      <c r="CP15" s="341"/>
      <c r="CQ15" s="341"/>
      <c r="CR15" s="341"/>
      <c r="CS15" s="327"/>
      <c r="CT15" s="341"/>
      <c r="CU15" s="341"/>
      <c r="CV15" s="341"/>
      <c r="CW15" s="327"/>
      <c r="CX15" s="341"/>
      <c r="CY15" s="341"/>
      <c r="CZ15" s="341"/>
      <c r="DA15" s="341"/>
      <c r="DB15" s="341"/>
      <c r="DC15" s="341"/>
      <c r="DD15" s="341"/>
      <c r="DE15" s="341"/>
      <c r="DF15" s="341"/>
      <c r="DG15" s="341"/>
      <c r="DH15" s="341"/>
      <c r="DI15" s="327"/>
      <c r="DJ15" s="341"/>
      <c r="DK15" s="327"/>
      <c r="DL15" s="341"/>
      <c r="DM15" s="327"/>
      <c r="DN15" s="341"/>
      <c r="DO15" s="327"/>
      <c r="DP15" s="341"/>
      <c r="DQ15" s="327"/>
      <c r="DR15" s="341"/>
      <c r="DS15" s="327"/>
      <c r="DT15" s="341"/>
      <c r="DU15" s="327"/>
      <c r="DV15" s="341"/>
      <c r="DW15" s="327"/>
      <c r="DX15" s="341"/>
      <c r="DY15" s="327"/>
      <c r="DZ15" s="341"/>
      <c r="EA15" s="327"/>
      <c r="EB15" s="347"/>
      <c r="EC15" s="327"/>
      <c r="ED15" s="347"/>
      <c r="EE15" s="327"/>
      <c r="EF15" s="347"/>
      <c r="EG15" s="327"/>
      <c r="EH15" s="347"/>
      <c r="EI15" s="347"/>
      <c r="EJ15" s="347"/>
      <c r="EK15" s="327"/>
      <c r="EL15" s="347"/>
      <c r="EM15" s="327"/>
      <c r="EN15" s="347"/>
      <c r="EO15" s="327"/>
      <c r="EP15" s="347"/>
      <c r="EQ15" s="327"/>
      <c r="ER15" s="347"/>
      <c r="ES15" s="327"/>
      <c r="ET15" s="347"/>
      <c r="EU15" s="327"/>
      <c r="EV15" s="347"/>
      <c r="EW15" s="327"/>
      <c r="EX15" s="347"/>
      <c r="EY15" s="327"/>
      <c r="EZ15" s="347"/>
      <c r="FA15" s="327"/>
      <c r="FB15" s="347"/>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row>
    <row r="16" spans="1:236">
      <c r="A16" s="7"/>
      <c r="B16" s="21"/>
      <c r="C16" s="21"/>
      <c r="D16" s="614"/>
      <c r="E16" s="327"/>
      <c r="F16" s="353"/>
      <c r="G16" s="21"/>
      <c r="H16" s="614"/>
      <c r="I16" s="327"/>
      <c r="J16" s="658"/>
      <c r="K16" s="21"/>
      <c r="L16" s="623"/>
      <c r="M16" s="327"/>
      <c r="N16" s="623"/>
      <c r="O16" s="623"/>
      <c r="P16" s="623"/>
      <c r="Q16" s="648"/>
      <c r="R16" s="623"/>
      <c r="S16" s="623"/>
      <c r="T16" s="623"/>
      <c r="U16" s="648"/>
      <c r="V16" s="623"/>
      <c r="W16" s="623"/>
      <c r="X16" s="623"/>
      <c r="Y16" s="648"/>
      <c r="Z16" s="623"/>
      <c r="AA16" s="623"/>
      <c r="AB16" s="623"/>
      <c r="AC16" s="648"/>
      <c r="AD16" s="623"/>
      <c r="AE16" s="21"/>
      <c r="AF16" s="353"/>
      <c r="AG16" s="327"/>
      <c r="AH16" s="353"/>
      <c r="AI16" s="353"/>
      <c r="AJ16" s="353"/>
      <c r="AK16" s="327"/>
      <c r="AL16" s="353"/>
      <c r="AM16" s="353"/>
      <c r="AN16" s="353"/>
      <c r="AO16" s="327"/>
      <c r="AP16" s="353"/>
      <c r="AQ16" s="21"/>
      <c r="AR16" s="353"/>
      <c r="AS16" s="327"/>
      <c r="AT16" s="353"/>
      <c r="AU16" s="353"/>
      <c r="AV16" s="353"/>
      <c r="AW16" s="327"/>
      <c r="AX16" s="353"/>
      <c r="AY16" s="353"/>
      <c r="AZ16" s="353"/>
      <c r="BA16" s="327"/>
      <c r="BB16" s="353"/>
      <c r="BC16" s="353"/>
      <c r="BD16" s="353"/>
      <c r="BE16" s="327"/>
      <c r="BF16" s="353"/>
      <c r="BG16" s="353"/>
      <c r="BH16" s="353"/>
      <c r="BI16" s="327"/>
      <c r="BJ16" s="353"/>
      <c r="BK16" s="353"/>
      <c r="BL16" s="353"/>
      <c r="BM16" s="327"/>
      <c r="BN16" s="353"/>
      <c r="BO16" s="353"/>
      <c r="BP16" s="353"/>
      <c r="BQ16" s="327"/>
      <c r="BR16" s="353"/>
      <c r="BS16" s="353"/>
      <c r="BT16" s="353"/>
      <c r="BU16" s="327"/>
      <c r="BV16" s="353"/>
      <c r="BW16" s="353"/>
      <c r="BX16" s="353"/>
      <c r="BY16" s="353"/>
      <c r="BZ16" s="327"/>
      <c r="CA16" s="353"/>
      <c r="CB16" s="353"/>
      <c r="CC16" s="353"/>
      <c r="CD16" s="327"/>
      <c r="CE16" s="353"/>
      <c r="CF16" s="353"/>
      <c r="CG16" s="353"/>
      <c r="CH16" s="353"/>
      <c r="CI16" s="327"/>
      <c r="CJ16" s="353"/>
      <c r="CK16" s="353"/>
      <c r="CL16" s="353"/>
      <c r="CM16" s="353"/>
      <c r="CN16" s="327"/>
      <c r="CO16" s="353"/>
      <c r="CP16" s="353"/>
      <c r="CQ16" s="353"/>
      <c r="CR16" s="353"/>
      <c r="CS16" s="327"/>
      <c r="CT16" s="353"/>
      <c r="CU16" s="353"/>
      <c r="CV16" s="353"/>
      <c r="CW16" s="327"/>
      <c r="CX16" s="353"/>
      <c r="CY16" s="353"/>
      <c r="CZ16" s="353"/>
      <c r="DA16" s="341"/>
      <c r="DB16" s="353"/>
      <c r="DC16" s="341"/>
      <c r="DD16" s="353"/>
      <c r="DE16" s="341"/>
      <c r="DF16" s="353"/>
      <c r="DG16" s="341"/>
      <c r="DH16" s="353"/>
      <c r="DI16" s="327"/>
      <c r="DJ16" s="353"/>
      <c r="DK16" s="327"/>
      <c r="DL16" s="353"/>
      <c r="DM16" s="327"/>
      <c r="DN16" s="353"/>
      <c r="DO16" s="327"/>
      <c r="DP16" s="353"/>
      <c r="DQ16" s="327"/>
      <c r="DR16" s="353"/>
      <c r="DS16" s="327"/>
      <c r="DT16" s="353"/>
      <c r="DU16" s="327"/>
      <c r="DV16" s="353"/>
      <c r="DW16" s="327"/>
      <c r="DX16" s="353"/>
      <c r="DY16" s="327"/>
      <c r="DZ16" s="353"/>
      <c r="EA16" s="327"/>
      <c r="EB16" s="306"/>
      <c r="EC16" s="327"/>
      <c r="ED16" s="306"/>
      <c r="EE16" s="327"/>
      <c r="EF16" s="306"/>
      <c r="EG16" s="327"/>
      <c r="EH16" s="306"/>
      <c r="EI16" s="327"/>
      <c r="EJ16" s="306"/>
      <c r="EK16" s="306"/>
      <c r="EL16" s="306"/>
      <c r="EM16" s="306"/>
      <c r="EN16" s="306"/>
      <c r="EO16" s="306"/>
      <c r="EP16" s="306"/>
      <c r="EQ16" s="306"/>
      <c r="ER16" s="358"/>
      <c r="ES16" s="306"/>
      <c r="ET16" s="306"/>
      <c r="EU16" s="306"/>
      <c r="EV16" s="358"/>
      <c r="EW16" s="306"/>
      <c r="EX16" s="306"/>
      <c r="EY16" s="306"/>
      <c r="EZ16" s="358"/>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row>
    <row r="17" spans="1:236">
      <c r="E17" s="336"/>
      <c r="F17" s="306"/>
      <c r="I17" s="336"/>
      <c r="J17" s="635"/>
      <c r="L17" s="602"/>
      <c r="M17" s="336"/>
      <c r="Q17" s="639"/>
      <c r="U17" s="639"/>
      <c r="Y17" s="639"/>
      <c r="AC17" s="639"/>
      <c r="AG17" s="336"/>
      <c r="AK17" s="336"/>
      <c r="AO17" s="336"/>
      <c r="AQ17" s="11"/>
      <c r="AR17" s="306"/>
      <c r="AS17" s="336"/>
      <c r="AT17" s="306"/>
      <c r="AU17" s="306"/>
      <c r="AV17" s="306"/>
      <c r="AW17" s="336"/>
      <c r="AX17" s="306"/>
      <c r="AY17" s="306"/>
      <c r="AZ17" s="306"/>
      <c r="BA17" s="336"/>
      <c r="BB17" s="306"/>
      <c r="BC17" s="306"/>
      <c r="BD17" s="306"/>
      <c r="BE17" s="336"/>
      <c r="BF17" s="306"/>
      <c r="BG17" s="306"/>
      <c r="BH17" s="306"/>
      <c r="BI17" s="336"/>
      <c r="BJ17" s="306"/>
      <c r="BK17" s="306"/>
      <c r="BL17" s="306"/>
      <c r="BM17" s="336"/>
      <c r="BN17" s="306"/>
      <c r="BO17" s="306"/>
      <c r="BP17" s="306"/>
      <c r="BQ17" s="336"/>
      <c r="BR17" s="306"/>
      <c r="BS17" s="306"/>
      <c r="BT17" s="306"/>
      <c r="BU17" s="336"/>
      <c r="BV17" s="306"/>
      <c r="BW17" s="306"/>
      <c r="BX17" s="306"/>
      <c r="BY17" s="306"/>
      <c r="BZ17" s="336"/>
      <c r="CA17" s="306"/>
      <c r="CB17" s="306"/>
      <c r="CC17" s="306"/>
      <c r="CD17" s="336"/>
      <c r="CE17" s="306"/>
      <c r="CF17" s="306"/>
      <c r="CG17" s="306"/>
      <c r="CH17" s="306"/>
      <c r="CI17" s="336"/>
      <c r="CJ17" s="306"/>
      <c r="CK17" s="306"/>
      <c r="CL17" s="306"/>
      <c r="CM17" s="306"/>
      <c r="CN17" s="336"/>
      <c r="CO17" s="306"/>
      <c r="CP17" s="306"/>
      <c r="CQ17" s="306"/>
      <c r="CR17" s="306"/>
      <c r="CS17" s="336"/>
      <c r="CT17" s="306"/>
      <c r="CU17" s="306"/>
      <c r="CV17" s="306"/>
      <c r="CW17" s="336"/>
      <c r="CX17" s="306"/>
      <c r="CY17" s="306"/>
      <c r="CZ17" s="306"/>
      <c r="DA17" s="327"/>
      <c r="DB17" s="306"/>
      <c r="DC17" s="327"/>
      <c r="DD17" s="306"/>
      <c r="DE17" s="327"/>
      <c r="DF17" s="306"/>
      <c r="DG17" s="327"/>
      <c r="DH17" s="306"/>
      <c r="DI17" s="336"/>
      <c r="DJ17" s="306"/>
      <c r="DK17" s="336"/>
      <c r="DL17" s="306"/>
      <c r="DM17" s="336"/>
      <c r="DN17" s="306"/>
      <c r="DO17" s="336"/>
      <c r="DP17" s="306"/>
      <c r="DQ17" s="336"/>
      <c r="DR17" s="306"/>
      <c r="DS17" s="336"/>
      <c r="DT17" s="306"/>
      <c r="DU17" s="336"/>
      <c r="DV17" s="306"/>
      <c r="DW17" s="336"/>
      <c r="DX17" s="306"/>
      <c r="DY17" s="336"/>
      <c r="DZ17" s="306"/>
      <c r="EA17" s="336"/>
      <c r="EB17" s="306"/>
      <c r="EC17" s="336"/>
      <c r="ED17" s="306"/>
      <c r="EE17" s="336"/>
      <c r="EF17" s="306"/>
      <c r="EG17" s="336"/>
      <c r="EH17" s="306"/>
      <c r="EI17" s="327"/>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row>
    <row r="18" spans="1:236" ht="35.25" customHeight="1">
      <c r="A18" s="8"/>
      <c r="B18" s="8" t="s">
        <v>0</v>
      </c>
      <c r="C18" s="4"/>
      <c r="D18" s="612" t="s">
        <v>986</v>
      </c>
      <c r="F18" s="619" t="s">
        <v>826</v>
      </c>
      <c r="G18" s="4"/>
      <c r="H18" s="612" t="s">
        <v>985</v>
      </c>
      <c r="J18" s="619" t="s">
        <v>827</v>
      </c>
      <c r="K18" s="4"/>
      <c r="L18" s="619" t="s">
        <v>960</v>
      </c>
      <c r="N18" s="630" t="s">
        <v>384</v>
      </c>
      <c r="O18" s="640"/>
      <c r="P18" s="619">
        <v>2018</v>
      </c>
      <c r="R18" s="630">
        <v>2017</v>
      </c>
      <c r="S18" s="639"/>
      <c r="T18" s="619" t="s">
        <v>929</v>
      </c>
      <c r="V18" s="630" t="s">
        <v>829</v>
      </c>
      <c r="W18" s="639"/>
      <c r="X18" s="619" t="s">
        <v>892</v>
      </c>
      <c r="Z18" s="630" t="s">
        <v>432</v>
      </c>
      <c r="AA18" s="639"/>
      <c r="AB18" s="619" t="s">
        <v>893</v>
      </c>
      <c r="AD18" s="630" t="s">
        <v>388</v>
      </c>
      <c r="AE18" s="4"/>
      <c r="AF18" s="300" t="s">
        <v>826</v>
      </c>
      <c r="AH18" s="299" t="s">
        <v>403</v>
      </c>
      <c r="AI18" s="336"/>
      <c r="AJ18" s="300" t="s">
        <v>827</v>
      </c>
      <c r="AL18" s="299" t="s">
        <v>390</v>
      </c>
      <c r="AM18" s="336"/>
      <c r="AN18" s="300" t="s">
        <v>384</v>
      </c>
      <c r="AP18" s="299" t="s">
        <v>385</v>
      </c>
      <c r="AQ18" s="276"/>
      <c r="AR18" s="300">
        <v>2017</v>
      </c>
      <c r="AS18" s="306"/>
      <c r="AT18" s="299">
        <v>2016</v>
      </c>
      <c r="AU18" s="336"/>
      <c r="AV18" s="300" t="s">
        <v>386</v>
      </c>
      <c r="AW18" s="306"/>
      <c r="AX18" s="299" t="s">
        <v>387</v>
      </c>
      <c r="AY18" s="336"/>
      <c r="AZ18" s="300" t="s">
        <v>388</v>
      </c>
      <c r="BA18" s="306"/>
      <c r="BB18" s="299" t="s">
        <v>389</v>
      </c>
      <c r="BC18" s="336"/>
      <c r="BD18" s="300" t="s">
        <v>401</v>
      </c>
      <c r="BE18" s="306"/>
      <c r="BF18" s="299" t="s">
        <v>402</v>
      </c>
      <c r="BG18" s="336"/>
      <c r="BH18" s="300" t="s">
        <v>403</v>
      </c>
      <c r="BI18" s="306"/>
      <c r="BJ18" s="299" t="s">
        <v>404</v>
      </c>
      <c r="BK18" s="336"/>
      <c r="BL18" s="300" t="s">
        <v>390</v>
      </c>
      <c r="BM18" s="306"/>
      <c r="BN18" s="299" t="s">
        <v>391</v>
      </c>
      <c r="BO18" s="336"/>
      <c r="BP18" s="300" t="s">
        <v>385</v>
      </c>
      <c r="BQ18" s="306"/>
      <c r="BR18" s="299" t="s">
        <v>405</v>
      </c>
      <c r="BS18" s="336"/>
      <c r="BT18" s="300">
        <v>2016</v>
      </c>
      <c r="BU18" s="306"/>
      <c r="BV18" s="299">
        <v>2015</v>
      </c>
      <c r="BW18" s="336"/>
      <c r="BX18" s="336"/>
      <c r="BY18" s="300" t="s">
        <v>387</v>
      </c>
      <c r="BZ18" s="337"/>
      <c r="CA18" s="299" t="s">
        <v>406</v>
      </c>
      <c r="CB18" s="338"/>
      <c r="CC18" s="300" t="s">
        <v>407</v>
      </c>
      <c r="CD18" s="306"/>
      <c r="CE18" s="299" t="s">
        <v>408</v>
      </c>
      <c r="CF18" s="341"/>
      <c r="CG18" s="341"/>
      <c r="CH18" s="300" t="s">
        <v>409</v>
      </c>
      <c r="CI18" s="337"/>
      <c r="CJ18" s="299" t="s">
        <v>410</v>
      </c>
      <c r="CK18" s="341"/>
      <c r="CL18" s="341"/>
      <c r="CM18" s="300" t="s">
        <v>411</v>
      </c>
      <c r="CN18" s="337"/>
      <c r="CO18" s="299" t="s">
        <v>412</v>
      </c>
      <c r="CP18" s="341"/>
      <c r="CQ18" s="341"/>
      <c r="CR18" s="300" t="s">
        <v>413</v>
      </c>
      <c r="CS18" s="337"/>
      <c r="CT18" s="299" t="s">
        <v>414</v>
      </c>
      <c r="CU18" s="341"/>
      <c r="CV18" s="300" t="s">
        <v>415</v>
      </c>
      <c r="CW18" s="337"/>
      <c r="CX18" s="299" t="s">
        <v>416</v>
      </c>
      <c r="CY18" s="341"/>
      <c r="CZ18" s="299">
        <v>2015</v>
      </c>
      <c r="DA18" s="336"/>
      <c r="DB18" s="299">
        <v>2014</v>
      </c>
      <c r="DC18" s="336"/>
      <c r="DD18" s="299" t="s">
        <v>406</v>
      </c>
      <c r="DE18" s="337"/>
      <c r="DF18" s="299" t="s">
        <v>395</v>
      </c>
      <c r="DG18" s="336"/>
      <c r="DH18" s="299" t="s">
        <v>408</v>
      </c>
      <c r="DI18" s="306"/>
      <c r="DJ18" s="299" t="s">
        <v>417</v>
      </c>
      <c r="DK18" s="337"/>
      <c r="DL18" s="299" t="s">
        <v>418</v>
      </c>
      <c r="DM18" s="337"/>
      <c r="DN18" s="299" t="s">
        <v>419</v>
      </c>
      <c r="DO18" s="337"/>
      <c r="DP18" s="299" t="s">
        <v>420</v>
      </c>
      <c r="DQ18" s="337"/>
      <c r="DR18" s="299" t="s">
        <v>393</v>
      </c>
      <c r="DS18" s="337"/>
      <c r="DT18" s="299" t="s">
        <v>421</v>
      </c>
      <c r="DU18" s="337"/>
      <c r="DV18" s="299" t="s">
        <v>399</v>
      </c>
      <c r="DW18" s="337"/>
      <c r="DX18" s="299" t="s">
        <v>422</v>
      </c>
      <c r="DY18" s="337"/>
      <c r="DZ18" s="299" t="s">
        <v>423</v>
      </c>
      <c r="EA18" s="337"/>
      <c r="EB18" s="359">
        <v>2014</v>
      </c>
      <c r="EC18" s="360"/>
      <c r="ED18" s="359">
        <v>2013</v>
      </c>
      <c r="EE18" s="360"/>
      <c r="EF18" s="299" t="s">
        <v>395</v>
      </c>
      <c r="EG18" s="360"/>
      <c r="EH18" s="299" t="s">
        <v>396</v>
      </c>
      <c r="EI18" s="336"/>
      <c r="EJ18" s="299" t="s">
        <v>417</v>
      </c>
      <c r="EK18" s="306"/>
      <c r="EL18" s="299" t="s">
        <v>424</v>
      </c>
      <c r="EM18" s="306"/>
      <c r="EN18" s="299" t="s">
        <v>419</v>
      </c>
      <c r="EO18" s="306"/>
      <c r="EP18" s="299" t="s">
        <v>398</v>
      </c>
      <c r="EQ18" s="306"/>
      <c r="ER18" s="299" t="s">
        <v>393</v>
      </c>
      <c r="ES18" s="306"/>
      <c r="ET18" s="299" t="s">
        <v>394</v>
      </c>
      <c r="EU18" s="306"/>
      <c r="EV18" s="299" t="s">
        <v>399</v>
      </c>
      <c r="EW18" s="306"/>
      <c r="EX18" s="359" t="s">
        <v>425</v>
      </c>
      <c r="EY18" s="306"/>
      <c r="EZ18" s="299" t="s">
        <v>423</v>
      </c>
      <c r="FA18" s="306"/>
      <c r="FB18" s="299" t="s">
        <v>426</v>
      </c>
      <c r="FC18" s="306"/>
      <c r="FD18" s="306"/>
      <c r="FE18" s="306"/>
      <c r="FF18" s="306"/>
      <c r="FG18" s="306"/>
      <c r="FH18" s="306"/>
      <c r="FI18" s="306"/>
      <c r="FJ18" s="306"/>
      <c r="FK18" s="306"/>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c r="HI18" s="306"/>
      <c r="HJ18" s="306"/>
      <c r="HK18" s="306"/>
      <c r="HL18" s="306"/>
      <c r="HM18" s="306"/>
      <c r="HN18" s="306"/>
      <c r="HO18" s="306"/>
      <c r="HP18" s="306"/>
      <c r="HQ18" s="306"/>
      <c r="HR18" s="306"/>
      <c r="HS18" s="306"/>
      <c r="HT18" s="306"/>
      <c r="HU18" s="306"/>
      <c r="HV18" s="306"/>
      <c r="HW18" s="306"/>
      <c r="HX18" s="306"/>
      <c r="HY18" s="306"/>
      <c r="HZ18" s="306"/>
      <c r="IA18" s="306"/>
      <c r="IB18" s="306"/>
    </row>
    <row r="19" spans="1:236">
      <c r="A19" s="12" t="s">
        <v>138</v>
      </c>
      <c r="B19" s="13" t="s">
        <v>140</v>
      </c>
      <c r="C19" s="14"/>
      <c r="D19" s="615">
        <v>2.2599999999999998</v>
      </c>
      <c r="E19" s="360"/>
      <c r="F19" s="625">
        <v>2.5299999999999998</v>
      </c>
      <c r="G19" s="14"/>
      <c r="H19" s="615">
        <v>0.99</v>
      </c>
      <c r="I19" s="360"/>
      <c r="J19" s="625">
        <v>1.1000000000000001</v>
      </c>
      <c r="K19" s="14"/>
      <c r="L19" s="625">
        <v>1.26</v>
      </c>
      <c r="M19" s="360"/>
      <c r="N19" s="288">
        <v>1.42</v>
      </c>
      <c r="O19" s="287"/>
      <c r="P19" s="625">
        <v>5.01</v>
      </c>
      <c r="R19" s="288">
        <v>6.45</v>
      </c>
      <c r="S19" s="624"/>
      <c r="T19" s="625">
        <v>1.4</v>
      </c>
      <c r="U19" s="287"/>
      <c r="V19" s="288">
        <v>1.7700000000000005</v>
      </c>
      <c r="W19" s="624"/>
      <c r="X19" s="625">
        <v>3.61</v>
      </c>
      <c r="Z19" s="288">
        <v>4.68</v>
      </c>
      <c r="AA19" s="624"/>
      <c r="AB19" s="625">
        <v>1.0900000000000001</v>
      </c>
      <c r="AC19" s="287"/>
      <c r="AD19" s="288">
        <v>1.36</v>
      </c>
      <c r="AE19" s="14"/>
      <c r="AF19" s="361">
        <v>2.5299999999999998</v>
      </c>
      <c r="AH19" s="362">
        <v>3.32</v>
      </c>
      <c r="AI19" s="341"/>
      <c r="AJ19" s="361">
        <v>1.1000000000000001</v>
      </c>
      <c r="AK19" s="360"/>
      <c r="AL19" s="362">
        <v>1.8099999999999998</v>
      </c>
      <c r="AM19" s="341"/>
      <c r="AN19" s="361">
        <v>1.42</v>
      </c>
      <c r="AO19" s="360"/>
      <c r="AP19" s="362">
        <v>1.51</v>
      </c>
      <c r="AQ19" s="287"/>
      <c r="AR19" s="361">
        <v>6.45</v>
      </c>
      <c r="AS19" s="360"/>
      <c r="AT19" s="362">
        <v>6.37</v>
      </c>
      <c r="AU19" s="341"/>
      <c r="AV19" s="361">
        <v>1.7700000000000005</v>
      </c>
      <c r="AW19" s="360"/>
      <c r="AX19" s="362">
        <v>2.16</v>
      </c>
      <c r="AY19" s="341"/>
      <c r="AZ19" s="361">
        <f>BD19-BH19</f>
        <v>1.3599999999999999</v>
      </c>
      <c r="BA19" s="360"/>
      <c r="BB19" s="362">
        <f>BF19-BJ19</f>
        <v>1.73</v>
      </c>
      <c r="BC19" s="341"/>
      <c r="BD19" s="361">
        <v>4.68</v>
      </c>
      <c r="BE19" s="360"/>
      <c r="BF19" s="362">
        <v>4.21</v>
      </c>
      <c r="BG19" s="341"/>
      <c r="BH19" s="361">
        <v>3.32</v>
      </c>
      <c r="BI19" s="360"/>
      <c r="BJ19" s="362">
        <f>CM19</f>
        <v>2.48</v>
      </c>
      <c r="BK19" s="341"/>
      <c r="BL19" s="361">
        <f>BH19-BP19</f>
        <v>1.8099999999999998</v>
      </c>
      <c r="BM19" s="360"/>
      <c r="BN19" s="362">
        <v>1.27</v>
      </c>
      <c r="BO19" s="341"/>
      <c r="BP19" s="361">
        <v>1.51</v>
      </c>
      <c r="BQ19" s="360"/>
      <c r="BR19" s="362">
        <v>1.21</v>
      </c>
      <c r="BS19" s="341"/>
      <c r="BT19" s="361">
        <v>6.37</v>
      </c>
      <c r="BU19" s="360"/>
      <c r="BV19" s="362">
        <v>4.91</v>
      </c>
      <c r="BW19" s="341"/>
      <c r="BX19" s="341"/>
      <c r="BY19" s="361">
        <v>2.16</v>
      </c>
      <c r="BZ19" s="360"/>
      <c r="CA19" s="362">
        <v>1.46</v>
      </c>
      <c r="CB19" s="363"/>
      <c r="CC19" s="361">
        <v>4.21</v>
      </c>
      <c r="CD19" s="360"/>
      <c r="CE19" s="362">
        <v>3.45</v>
      </c>
      <c r="CF19" s="341"/>
      <c r="CG19" s="341"/>
      <c r="CH19" s="361">
        <v>1.73</v>
      </c>
      <c r="CI19" s="360"/>
      <c r="CJ19" s="362">
        <v>1.4400000000000004</v>
      </c>
      <c r="CK19" s="341"/>
      <c r="CL19" s="341"/>
      <c r="CM19" s="361">
        <v>2.48</v>
      </c>
      <c r="CN19" s="360"/>
      <c r="CO19" s="362">
        <v>2.0099999999999998</v>
      </c>
      <c r="CP19" s="341"/>
      <c r="CQ19" s="341"/>
      <c r="CR19" s="361">
        <v>1.27</v>
      </c>
      <c r="CS19" s="360"/>
      <c r="CT19" s="362">
        <v>1.0399999999999998</v>
      </c>
      <c r="CU19" s="341"/>
      <c r="CV19" s="361">
        <v>1.21</v>
      </c>
      <c r="CW19" s="360"/>
      <c r="CX19" s="362">
        <v>0.97</v>
      </c>
      <c r="CY19" s="341"/>
      <c r="CZ19" s="362">
        <v>4.91</v>
      </c>
      <c r="DA19" s="341"/>
      <c r="DB19" s="362">
        <v>5.4</v>
      </c>
      <c r="DC19" s="341"/>
      <c r="DD19" s="362">
        <v>1.45</v>
      </c>
      <c r="DE19" s="341"/>
      <c r="DF19" s="362">
        <v>1.41</v>
      </c>
      <c r="DG19" s="341"/>
      <c r="DH19" s="362">
        <v>3.45</v>
      </c>
      <c r="DI19" s="360"/>
      <c r="DJ19" s="362">
        <v>3.99</v>
      </c>
      <c r="DK19" s="360"/>
      <c r="DL19" s="362">
        <v>1.44</v>
      </c>
      <c r="DM19" s="360"/>
      <c r="DN19" s="362">
        <v>1.44</v>
      </c>
      <c r="DO19" s="360"/>
      <c r="DP19" s="362">
        <v>2.0099999999999998</v>
      </c>
      <c r="DQ19" s="360"/>
      <c r="DR19" s="362">
        <v>2.5499999999999998</v>
      </c>
      <c r="DS19" s="360"/>
      <c r="DT19" s="362">
        <v>1.04</v>
      </c>
      <c r="DU19" s="360"/>
      <c r="DV19" s="362">
        <v>1.3</v>
      </c>
      <c r="DW19" s="360"/>
      <c r="DX19" s="362">
        <v>0.97</v>
      </c>
      <c r="DY19" s="360"/>
      <c r="DZ19" s="362">
        <v>1.25</v>
      </c>
      <c r="EA19" s="360"/>
      <c r="EB19" s="362">
        <v>5.4</v>
      </c>
      <c r="EC19" s="360"/>
      <c r="ED19" s="362">
        <v>5.45</v>
      </c>
      <c r="EE19" s="360"/>
      <c r="EF19" s="362">
        <v>1.41</v>
      </c>
      <c r="EG19" s="360"/>
      <c r="EH19" s="362">
        <v>1.19</v>
      </c>
      <c r="EI19" s="360"/>
      <c r="EJ19" s="362">
        <v>3.99</v>
      </c>
      <c r="EK19" s="306"/>
      <c r="EL19" s="362">
        <v>4.26</v>
      </c>
      <c r="EM19" s="306"/>
      <c r="EN19" s="362">
        <v>1.44</v>
      </c>
      <c r="EO19" s="306"/>
      <c r="EP19" s="362">
        <v>1.26</v>
      </c>
      <c r="EQ19" s="306"/>
      <c r="ER19" s="362">
        <v>2.5499999999999998</v>
      </c>
      <c r="ES19" s="306"/>
      <c r="ET19" s="362">
        <v>3</v>
      </c>
      <c r="EU19" s="306"/>
      <c r="EV19" s="362">
        <v>1.3</v>
      </c>
      <c r="EW19" s="306"/>
      <c r="EX19" s="362">
        <v>1.48</v>
      </c>
      <c r="EY19" s="306"/>
      <c r="EZ19" s="362">
        <v>1.25</v>
      </c>
      <c r="FA19" s="306"/>
      <c r="FB19" s="362">
        <v>1.52</v>
      </c>
      <c r="FC19" s="306"/>
      <c r="FD19" s="306"/>
      <c r="FE19" s="306"/>
      <c r="FF19" s="306"/>
      <c r="FG19" s="306"/>
      <c r="FH19" s="306"/>
      <c r="FI19" s="306"/>
      <c r="FJ19" s="306"/>
      <c r="FK19" s="306"/>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c r="HI19" s="306"/>
      <c r="HJ19" s="306"/>
      <c r="HK19" s="306"/>
      <c r="HL19" s="306"/>
      <c r="HM19" s="306"/>
      <c r="HN19" s="306"/>
      <c r="HO19" s="306"/>
      <c r="HP19" s="306"/>
      <c r="HQ19" s="306"/>
      <c r="HR19" s="306"/>
      <c r="HS19" s="306"/>
      <c r="HT19" s="306"/>
      <c r="HU19" s="306"/>
      <c r="HV19" s="306"/>
      <c r="HW19" s="306"/>
      <c r="HX19" s="306"/>
      <c r="HY19" s="306"/>
      <c r="HZ19" s="306"/>
      <c r="IA19" s="306"/>
      <c r="IB19" s="306"/>
    </row>
    <row r="20" spans="1:236">
      <c r="A20" s="16" t="s">
        <v>139</v>
      </c>
      <c r="B20" s="14" t="s">
        <v>3</v>
      </c>
      <c r="C20" s="14"/>
      <c r="D20" s="616">
        <v>7.15</v>
      </c>
      <c r="E20" s="347"/>
      <c r="F20" s="626">
        <v>7.55</v>
      </c>
      <c r="G20" s="14"/>
      <c r="H20" s="616">
        <v>3.33</v>
      </c>
      <c r="I20" s="347"/>
      <c r="J20" s="626">
        <v>3.62</v>
      </c>
      <c r="K20" s="14"/>
      <c r="L20" s="626">
        <v>3.82</v>
      </c>
      <c r="M20" s="347"/>
      <c r="N20" s="287">
        <v>3.94</v>
      </c>
      <c r="O20" s="287"/>
      <c r="P20" s="626">
        <v>16.21</v>
      </c>
      <c r="R20" s="289">
        <v>18.41</v>
      </c>
      <c r="S20" s="624"/>
      <c r="T20" s="626">
        <v>4.3100000000000005</v>
      </c>
      <c r="U20" s="289"/>
      <c r="V20" s="287">
        <v>4.3800000000000008</v>
      </c>
      <c r="W20" s="624"/>
      <c r="X20" s="626">
        <v>11.9</v>
      </c>
      <c r="Z20" s="289">
        <v>14.03</v>
      </c>
      <c r="AA20" s="624"/>
      <c r="AB20" s="626">
        <v>4.3499999999999996</v>
      </c>
      <c r="AC20" s="289"/>
      <c r="AD20" s="287">
        <v>4.57</v>
      </c>
      <c r="AE20" s="14"/>
      <c r="AF20" s="363">
        <v>7.55</v>
      </c>
      <c r="AH20" s="347">
        <v>9.4600000000000009</v>
      </c>
      <c r="AI20" s="341"/>
      <c r="AJ20" s="363">
        <v>3.62</v>
      </c>
      <c r="AK20" s="347"/>
      <c r="AL20" s="360">
        <v>4.5599999999999996</v>
      </c>
      <c r="AM20" s="341"/>
      <c r="AN20" s="363">
        <v>3.94</v>
      </c>
      <c r="AO20" s="347"/>
      <c r="AP20" s="360">
        <v>4.8899999999999997</v>
      </c>
      <c r="AQ20" s="287"/>
      <c r="AR20" s="363">
        <v>18.41</v>
      </c>
      <c r="AS20" s="347"/>
      <c r="AT20" s="347">
        <v>16.8</v>
      </c>
      <c r="AU20" s="341"/>
      <c r="AV20" s="363">
        <v>4.3800000000000008</v>
      </c>
      <c r="AW20" s="347"/>
      <c r="AX20" s="360">
        <v>4.3600000000000003</v>
      </c>
      <c r="AY20" s="341"/>
      <c r="AZ20" s="363">
        <f>BD20-BH20</f>
        <v>4.5699999999999985</v>
      </c>
      <c r="BA20" s="347"/>
      <c r="BB20" s="360">
        <f>BF20-BJ20</f>
        <v>4</v>
      </c>
      <c r="BC20" s="341"/>
      <c r="BD20" s="363">
        <v>14.03</v>
      </c>
      <c r="BE20" s="347"/>
      <c r="BF20" s="347">
        <v>12.45</v>
      </c>
      <c r="BG20" s="341"/>
      <c r="BH20" s="363">
        <v>9.4600000000000009</v>
      </c>
      <c r="BI20" s="347"/>
      <c r="BJ20" s="347">
        <f>CM20</f>
        <v>8.4499999999999993</v>
      </c>
      <c r="BK20" s="341"/>
      <c r="BL20" s="363">
        <v>4.5599999999999996</v>
      </c>
      <c r="BM20" s="347"/>
      <c r="BN20" s="360">
        <v>4.1399999999999997</v>
      </c>
      <c r="BO20" s="341"/>
      <c r="BP20" s="363">
        <v>4.8899999999999997</v>
      </c>
      <c r="BQ20" s="347"/>
      <c r="BR20" s="347">
        <v>4.3099999999999996</v>
      </c>
      <c r="BS20" s="341"/>
      <c r="BT20" s="363">
        <v>16.8</v>
      </c>
      <c r="BU20" s="347"/>
      <c r="BV20" s="347">
        <v>18.559999999999999</v>
      </c>
      <c r="BW20" s="341"/>
      <c r="BX20" s="341"/>
      <c r="BY20" s="363">
        <v>4.3500000000000014</v>
      </c>
      <c r="BZ20" s="347"/>
      <c r="CA20" s="347">
        <v>4.759999999999998</v>
      </c>
      <c r="CB20" s="363"/>
      <c r="CC20" s="363">
        <v>12.45</v>
      </c>
      <c r="CD20" s="347"/>
      <c r="CE20" s="347">
        <v>13.8</v>
      </c>
      <c r="CF20" s="341"/>
      <c r="CG20" s="341"/>
      <c r="CH20" s="363">
        <v>4</v>
      </c>
      <c r="CI20" s="347"/>
      <c r="CJ20" s="347">
        <v>5.0400000000000009</v>
      </c>
      <c r="CK20" s="341"/>
      <c r="CL20" s="341"/>
      <c r="CM20" s="363">
        <v>8.4499999999999993</v>
      </c>
      <c r="CN20" s="347"/>
      <c r="CO20" s="360">
        <v>8.76</v>
      </c>
      <c r="CP20" s="341"/>
      <c r="CQ20" s="341"/>
      <c r="CR20" s="363">
        <v>4.1399999999999997</v>
      </c>
      <c r="CS20" s="347"/>
      <c r="CT20" s="360">
        <v>4.3599999999999994</v>
      </c>
      <c r="CU20" s="341"/>
      <c r="CV20" s="363">
        <v>4.3099999999999996</v>
      </c>
      <c r="CW20" s="347"/>
      <c r="CX20" s="360">
        <v>4.4000000000000004</v>
      </c>
      <c r="CY20" s="341"/>
      <c r="CZ20" s="360">
        <v>16.64</v>
      </c>
      <c r="DA20" s="341"/>
      <c r="DB20" s="360">
        <v>15.37</v>
      </c>
      <c r="DC20" s="341"/>
      <c r="DD20" s="360">
        <v>4.25</v>
      </c>
      <c r="DE20" s="341"/>
      <c r="DF20" s="360">
        <v>4.1100000000000003</v>
      </c>
      <c r="DG20" s="341"/>
      <c r="DH20" s="360">
        <v>12.38</v>
      </c>
      <c r="DI20" s="347"/>
      <c r="DJ20" s="360">
        <v>11.27</v>
      </c>
      <c r="DK20" s="347"/>
      <c r="DL20" s="360">
        <v>4.54</v>
      </c>
      <c r="DM20" s="347"/>
      <c r="DN20" s="360">
        <v>3.98</v>
      </c>
      <c r="DO20" s="347"/>
      <c r="DP20" s="360">
        <v>7.84</v>
      </c>
      <c r="DQ20" s="347"/>
      <c r="DR20" s="360">
        <v>7.29</v>
      </c>
      <c r="DS20" s="347"/>
      <c r="DT20" s="360">
        <v>3.92</v>
      </c>
      <c r="DU20" s="347"/>
      <c r="DV20" s="360">
        <v>3.59</v>
      </c>
      <c r="DW20" s="347"/>
      <c r="DX20" s="360">
        <v>3.93</v>
      </c>
      <c r="DY20" s="347"/>
      <c r="DZ20" s="360">
        <v>3.69</v>
      </c>
      <c r="EA20" s="347"/>
      <c r="EB20" s="360">
        <v>15.37</v>
      </c>
      <c r="EC20" s="347"/>
      <c r="ED20" s="360">
        <v>19.39</v>
      </c>
      <c r="EE20" s="347"/>
      <c r="EF20" s="360">
        <v>4.1100000000000003</v>
      </c>
      <c r="EG20" s="347"/>
      <c r="EH20" s="360">
        <v>5.1100000000000003</v>
      </c>
      <c r="EI20" s="360"/>
      <c r="EJ20" s="360">
        <v>11.27</v>
      </c>
      <c r="EK20" s="306"/>
      <c r="EL20" s="360">
        <v>14.28</v>
      </c>
      <c r="EM20" s="306"/>
      <c r="EN20" s="360">
        <v>3.98</v>
      </c>
      <c r="EO20" s="306"/>
      <c r="EP20" s="360">
        <v>4.53</v>
      </c>
      <c r="EQ20" s="306"/>
      <c r="ER20" s="360">
        <v>7.29</v>
      </c>
      <c r="ES20" s="306"/>
      <c r="ET20" s="360">
        <v>9.75</v>
      </c>
      <c r="EU20" s="306"/>
      <c r="EV20" s="360">
        <v>3.59</v>
      </c>
      <c r="EW20" s="306"/>
      <c r="EX20" s="360">
        <v>4.5999999999999996</v>
      </c>
      <c r="EY20" s="306"/>
      <c r="EZ20" s="360">
        <v>3.69</v>
      </c>
      <c r="FA20" s="306"/>
      <c r="FB20" s="360">
        <v>5.15</v>
      </c>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c r="HT20" s="306"/>
      <c r="HU20" s="306"/>
      <c r="HV20" s="306"/>
      <c r="HW20" s="306"/>
      <c r="HX20" s="306"/>
      <c r="HY20" s="306"/>
      <c r="HZ20" s="306"/>
      <c r="IA20" s="306"/>
      <c r="IB20" s="306"/>
    </row>
    <row r="21" spans="1:236">
      <c r="A21" s="16" t="s">
        <v>127</v>
      </c>
      <c r="B21" s="14" t="s">
        <v>3</v>
      </c>
      <c r="C21" s="14"/>
      <c r="D21" s="616">
        <v>26.08</v>
      </c>
      <c r="E21" s="347"/>
      <c r="F21" s="626">
        <v>26.01</v>
      </c>
      <c r="G21" s="14"/>
      <c r="H21" s="616">
        <v>12.54</v>
      </c>
      <c r="I21" s="347"/>
      <c r="J21" s="626">
        <v>12.590000000000002</v>
      </c>
      <c r="K21" s="14"/>
      <c r="L21" s="626">
        <v>13.54</v>
      </c>
      <c r="M21" s="347"/>
      <c r="N21" s="287">
        <v>13.42</v>
      </c>
      <c r="O21" s="287"/>
      <c r="P21" s="626">
        <v>51.97</v>
      </c>
      <c r="R21" s="289">
        <v>51.37</v>
      </c>
      <c r="S21" s="624"/>
      <c r="T21" s="626">
        <v>13.129125999999999</v>
      </c>
      <c r="U21" s="289"/>
      <c r="V21" s="287">
        <v>13.062401999999999</v>
      </c>
      <c r="W21" s="624"/>
      <c r="X21" s="626">
        <v>38.840873999999999</v>
      </c>
      <c r="Z21" s="289">
        <v>38.307597999999999</v>
      </c>
      <c r="AA21" s="624"/>
      <c r="AB21" s="626">
        <v>12.83</v>
      </c>
      <c r="AC21" s="289"/>
      <c r="AD21" s="287">
        <v>12.61</v>
      </c>
      <c r="AE21" s="14"/>
      <c r="AF21" s="363">
        <v>26.01</v>
      </c>
      <c r="AH21" s="347">
        <v>25.7</v>
      </c>
      <c r="AI21" s="341"/>
      <c r="AJ21" s="363">
        <v>12.590000000000002</v>
      </c>
      <c r="AK21" s="347"/>
      <c r="AL21" s="360">
        <v>12.4</v>
      </c>
      <c r="AM21" s="341"/>
      <c r="AN21" s="363">
        <v>13.42</v>
      </c>
      <c r="AO21" s="347"/>
      <c r="AP21" s="360">
        <v>13.31</v>
      </c>
      <c r="AQ21" s="287"/>
      <c r="AR21" s="363">
        <v>51.37</v>
      </c>
      <c r="AS21" s="347"/>
      <c r="AT21" s="360">
        <v>49.68</v>
      </c>
      <c r="AU21" s="341"/>
      <c r="AV21" s="363">
        <v>13.059999999999995</v>
      </c>
      <c r="AW21" s="347"/>
      <c r="AX21" s="360">
        <v>12.86</v>
      </c>
      <c r="AY21" s="341"/>
      <c r="AZ21" s="363">
        <f>BD21-BH21</f>
        <v>12.610000000000003</v>
      </c>
      <c r="BA21" s="347"/>
      <c r="BB21" s="360">
        <f>BF21-BJ21</f>
        <v>12.05</v>
      </c>
      <c r="BC21" s="341"/>
      <c r="BD21" s="363">
        <v>38.31</v>
      </c>
      <c r="BE21" s="347"/>
      <c r="BF21" s="347">
        <v>36.82</v>
      </c>
      <c r="BG21" s="341"/>
      <c r="BH21" s="363">
        <v>25.7</v>
      </c>
      <c r="BI21" s="347"/>
      <c r="BJ21" s="347">
        <f>CM21</f>
        <v>24.77</v>
      </c>
      <c r="BK21" s="341"/>
      <c r="BL21" s="363">
        <v>12.4</v>
      </c>
      <c r="BM21" s="347"/>
      <c r="BN21" s="360">
        <v>12.04</v>
      </c>
      <c r="BO21" s="341"/>
      <c r="BP21" s="363">
        <v>13.31</v>
      </c>
      <c r="BQ21" s="347"/>
      <c r="BR21" s="347">
        <v>12.73</v>
      </c>
      <c r="BS21" s="341"/>
      <c r="BT21" s="363">
        <v>49.68</v>
      </c>
      <c r="BU21" s="347"/>
      <c r="BV21" s="347">
        <v>49.2</v>
      </c>
      <c r="BW21" s="341"/>
      <c r="BX21" s="341"/>
      <c r="BY21" s="363">
        <v>12.86</v>
      </c>
      <c r="BZ21" s="347"/>
      <c r="CA21" s="347">
        <v>12.510000000000005</v>
      </c>
      <c r="CB21" s="363"/>
      <c r="CC21" s="363">
        <v>36.82</v>
      </c>
      <c r="CD21" s="347"/>
      <c r="CE21" s="347">
        <v>36.69</v>
      </c>
      <c r="CF21" s="341"/>
      <c r="CG21" s="341"/>
      <c r="CH21" s="363">
        <v>12.05</v>
      </c>
      <c r="CI21" s="347"/>
      <c r="CJ21" s="347">
        <v>12.099999999999998</v>
      </c>
      <c r="CK21" s="341"/>
      <c r="CL21" s="341"/>
      <c r="CM21" s="363">
        <v>24.77</v>
      </c>
      <c r="CN21" s="347"/>
      <c r="CO21" s="360">
        <v>24.59</v>
      </c>
      <c r="CP21" s="341"/>
      <c r="CQ21" s="341"/>
      <c r="CR21" s="363">
        <v>12.04</v>
      </c>
      <c r="CS21" s="347"/>
      <c r="CT21" s="360">
        <v>12.09</v>
      </c>
      <c r="CU21" s="341"/>
      <c r="CV21" s="363">
        <v>12.73</v>
      </c>
      <c r="CW21" s="347"/>
      <c r="CX21" s="360">
        <v>12.5</v>
      </c>
      <c r="CY21" s="341"/>
      <c r="CZ21" s="360">
        <v>49.2</v>
      </c>
      <c r="DA21" s="341"/>
      <c r="DB21" s="360">
        <v>47.9</v>
      </c>
      <c r="DC21" s="341"/>
      <c r="DD21" s="360">
        <v>12.51</v>
      </c>
      <c r="DE21" s="341"/>
      <c r="DF21" s="360">
        <v>12.16</v>
      </c>
      <c r="DG21" s="341"/>
      <c r="DH21" s="360">
        <v>36.69</v>
      </c>
      <c r="DI21" s="347"/>
      <c r="DJ21" s="360">
        <v>35.74</v>
      </c>
      <c r="DK21" s="347"/>
      <c r="DL21" s="360">
        <v>12.1</v>
      </c>
      <c r="DM21" s="347"/>
      <c r="DN21" s="360">
        <v>11.86</v>
      </c>
      <c r="DO21" s="347"/>
      <c r="DP21" s="360">
        <v>24.59</v>
      </c>
      <c r="DQ21" s="347"/>
      <c r="DR21" s="360">
        <v>23.88</v>
      </c>
      <c r="DS21" s="347"/>
      <c r="DT21" s="360">
        <v>12.09</v>
      </c>
      <c r="DU21" s="347"/>
      <c r="DV21" s="360">
        <v>11.63</v>
      </c>
      <c r="DW21" s="347"/>
      <c r="DX21" s="360">
        <v>12.5</v>
      </c>
      <c r="DY21" s="347"/>
      <c r="DZ21" s="360">
        <v>12.25</v>
      </c>
      <c r="EA21" s="347"/>
      <c r="EB21" s="347">
        <v>47.9</v>
      </c>
      <c r="EC21" s="347"/>
      <c r="ED21" s="347">
        <v>47.9</v>
      </c>
      <c r="EE21" s="347"/>
      <c r="EF21" s="347">
        <v>12.16</v>
      </c>
      <c r="EG21" s="347"/>
      <c r="EH21" s="347">
        <v>12.18</v>
      </c>
      <c r="EI21" s="347"/>
      <c r="EJ21" s="347">
        <v>35.74</v>
      </c>
      <c r="EK21" s="306"/>
      <c r="EL21" s="347">
        <v>35.72</v>
      </c>
      <c r="EM21" s="306"/>
      <c r="EN21" s="347">
        <v>11.86</v>
      </c>
      <c r="EO21" s="306"/>
      <c r="EP21" s="347">
        <v>11.74</v>
      </c>
      <c r="EQ21" s="306"/>
      <c r="ER21" s="347">
        <v>23.88</v>
      </c>
      <c r="ES21" s="306"/>
      <c r="ET21" s="347">
        <v>23.98</v>
      </c>
      <c r="EU21" s="306"/>
      <c r="EV21" s="347">
        <v>11.63</v>
      </c>
      <c r="EW21" s="306"/>
      <c r="EX21" s="347">
        <v>11.56</v>
      </c>
      <c r="EY21" s="306"/>
      <c r="EZ21" s="347">
        <v>12.25</v>
      </c>
      <c r="FA21" s="306"/>
      <c r="FB21" s="347">
        <v>12.42</v>
      </c>
      <c r="FC21" s="306"/>
      <c r="FD21" s="306"/>
      <c r="FE21" s="306"/>
      <c r="FF21" s="306"/>
      <c r="FG21" s="306"/>
      <c r="FH21" s="306"/>
      <c r="FI21" s="306"/>
      <c r="FJ21" s="306"/>
      <c r="FK21" s="306"/>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c r="HI21" s="306"/>
      <c r="HJ21" s="306"/>
      <c r="HK21" s="306"/>
      <c r="HL21" s="306"/>
      <c r="HM21" s="306"/>
      <c r="HN21" s="306"/>
      <c r="HO21" s="306"/>
      <c r="HP21" s="306"/>
      <c r="HQ21" s="306"/>
      <c r="HR21" s="306"/>
      <c r="HS21" s="306"/>
      <c r="HT21" s="306"/>
      <c r="HU21" s="306"/>
      <c r="HV21" s="306"/>
      <c r="HW21" s="306"/>
      <c r="HX21" s="306"/>
      <c r="HY21" s="306"/>
      <c r="HZ21" s="306"/>
      <c r="IA21" s="306"/>
      <c r="IB21" s="306"/>
    </row>
    <row r="22" spans="1:236">
      <c r="A22" s="19" t="s">
        <v>128</v>
      </c>
      <c r="B22" s="20" t="s">
        <v>3</v>
      </c>
      <c r="C22" s="14"/>
      <c r="D22" s="617">
        <v>17.03</v>
      </c>
      <c r="E22" s="327"/>
      <c r="F22" s="622">
        <v>17.2</v>
      </c>
      <c r="G22" s="14"/>
      <c r="H22" s="617">
        <v>8.1</v>
      </c>
      <c r="I22" s="327"/>
      <c r="J22" s="622">
        <v>7.93</v>
      </c>
      <c r="K22" s="14"/>
      <c r="L22" s="622">
        <v>8.93</v>
      </c>
      <c r="M22" s="327"/>
      <c r="N22" s="286">
        <v>9.2799999999999994</v>
      </c>
      <c r="O22" s="289"/>
      <c r="P22" s="622">
        <v>34.520000000000003</v>
      </c>
      <c r="Q22" s="648"/>
      <c r="R22" s="286">
        <v>34.94</v>
      </c>
      <c r="S22" s="624"/>
      <c r="T22" s="622">
        <v>9.1500000000000021</v>
      </c>
      <c r="U22" s="648"/>
      <c r="V22" s="286">
        <v>9.379999999999999</v>
      </c>
      <c r="W22" s="624"/>
      <c r="X22" s="622">
        <v>25.37</v>
      </c>
      <c r="Y22" s="648"/>
      <c r="Z22" s="286">
        <v>25.56</v>
      </c>
      <c r="AA22" s="624"/>
      <c r="AB22" s="622">
        <v>8.17</v>
      </c>
      <c r="AC22" s="648"/>
      <c r="AD22" s="286">
        <v>8.35</v>
      </c>
      <c r="AE22" s="14"/>
      <c r="AF22" s="348">
        <v>17.2</v>
      </c>
      <c r="AG22" s="327"/>
      <c r="AH22" s="350">
        <v>17.21</v>
      </c>
      <c r="AI22" s="341"/>
      <c r="AJ22" s="348">
        <v>7.93</v>
      </c>
      <c r="AK22" s="327"/>
      <c r="AL22" s="350">
        <v>8.08</v>
      </c>
      <c r="AM22" s="341"/>
      <c r="AN22" s="348">
        <v>9.2799999999999994</v>
      </c>
      <c r="AO22" s="327"/>
      <c r="AP22" s="350">
        <v>9.1199999999999992</v>
      </c>
      <c r="AQ22" s="289"/>
      <c r="AR22" s="348">
        <v>34.94</v>
      </c>
      <c r="AS22" s="327"/>
      <c r="AT22" s="350">
        <v>32.04</v>
      </c>
      <c r="AU22" s="341"/>
      <c r="AV22" s="348">
        <v>9.39</v>
      </c>
      <c r="AW22" s="327"/>
      <c r="AX22" s="350">
        <v>8.8499999999999979</v>
      </c>
      <c r="AY22" s="341"/>
      <c r="AZ22" s="348">
        <f>BD22-BH22</f>
        <v>8.3499999999999979</v>
      </c>
      <c r="BA22" s="327"/>
      <c r="BB22" s="350">
        <f>BF22-BJ22</f>
        <v>7.6100000000000012</v>
      </c>
      <c r="BC22" s="341"/>
      <c r="BD22" s="348">
        <v>25.56</v>
      </c>
      <c r="BE22" s="327"/>
      <c r="BF22" s="350">
        <v>23.19</v>
      </c>
      <c r="BG22" s="341"/>
      <c r="BH22" s="348">
        <v>17.21</v>
      </c>
      <c r="BI22" s="327"/>
      <c r="BJ22" s="350">
        <f>CM22</f>
        <v>15.58</v>
      </c>
      <c r="BK22" s="341"/>
      <c r="BL22" s="348">
        <v>8.08</v>
      </c>
      <c r="BM22" s="327"/>
      <c r="BN22" s="350">
        <v>7.2100000000000009</v>
      </c>
      <c r="BO22" s="341"/>
      <c r="BP22" s="348">
        <v>9.1199999999999992</v>
      </c>
      <c r="BQ22" s="327"/>
      <c r="BR22" s="350">
        <v>8.3699999999999992</v>
      </c>
      <c r="BS22" s="341"/>
      <c r="BT22" s="348">
        <v>32.04</v>
      </c>
      <c r="BU22" s="327"/>
      <c r="BV22" s="350">
        <v>35.94</v>
      </c>
      <c r="BW22" s="341"/>
      <c r="BX22" s="341"/>
      <c r="BY22" s="348">
        <v>8.8499999999999979</v>
      </c>
      <c r="BZ22" s="327"/>
      <c r="CA22" s="350">
        <v>9.4799999999999969</v>
      </c>
      <c r="CB22" s="352"/>
      <c r="CC22" s="348">
        <v>23.19</v>
      </c>
      <c r="CD22" s="327"/>
      <c r="CE22" s="350">
        <v>26.46</v>
      </c>
      <c r="CF22" s="341"/>
      <c r="CG22" s="341"/>
      <c r="CH22" s="348">
        <v>7.6100000000000012</v>
      </c>
      <c r="CI22" s="327"/>
      <c r="CJ22" s="350">
        <v>8.44</v>
      </c>
      <c r="CK22" s="341"/>
      <c r="CL22" s="341"/>
      <c r="CM22" s="348">
        <v>15.58</v>
      </c>
      <c r="CN22" s="327"/>
      <c r="CO22" s="350">
        <v>18.03</v>
      </c>
      <c r="CP22" s="341"/>
      <c r="CQ22" s="341"/>
      <c r="CR22" s="348">
        <v>7.2100000000000009</v>
      </c>
      <c r="CS22" s="327"/>
      <c r="CT22" s="350">
        <v>8.5820000000000007</v>
      </c>
      <c r="CU22" s="341"/>
      <c r="CV22" s="348">
        <v>8.3699999999999992</v>
      </c>
      <c r="CW22" s="327"/>
      <c r="CX22" s="350">
        <v>9.0500000000000007</v>
      </c>
      <c r="CY22" s="341"/>
      <c r="CZ22" s="350">
        <v>35.94</v>
      </c>
      <c r="DA22" s="341"/>
      <c r="DB22" s="350">
        <v>36.43</v>
      </c>
      <c r="DC22" s="341"/>
      <c r="DD22" s="350">
        <v>9.4700000000000006</v>
      </c>
      <c r="DE22" s="341"/>
      <c r="DF22" s="350">
        <v>9.66</v>
      </c>
      <c r="DG22" s="341"/>
      <c r="DH22" s="350">
        <v>26.46</v>
      </c>
      <c r="DI22" s="327"/>
      <c r="DJ22" s="350">
        <v>26.78</v>
      </c>
      <c r="DK22" s="327"/>
      <c r="DL22" s="350">
        <v>8.44</v>
      </c>
      <c r="DM22" s="327"/>
      <c r="DN22" s="350">
        <v>8.58</v>
      </c>
      <c r="DO22" s="327"/>
      <c r="DP22" s="350">
        <v>18.03</v>
      </c>
      <c r="DQ22" s="327"/>
      <c r="DR22" s="350">
        <v>18.2</v>
      </c>
      <c r="DS22" s="327"/>
      <c r="DT22" s="350">
        <v>8.58</v>
      </c>
      <c r="DU22" s="327"/>
      <c r="DV22" s="350">
        <v>8.5399999999999991</v>
      </c>
      <c r="DW22" s="327"/>
      <c r="DX22" s="350">
        <v>9.0500000000000007</v>
      </c>
      <c r="DY22" s="327"/>
      <c r="DZ22" s="350">
        <v>10.17</v>
      </c>
      <c r="EA22" s="327"/>
      <c r="EB22" s="350">
        <v>38.590000000000003</v>
      </c>
      <c r="EC22" s="327"/>
      <c r="ED22" s="350">
        <v>41.3</v>
      </c>
      <c r="EE22" s="327"/>
      <c r="EF22" s="350">
        <v>10.210000000000001</v>
      </c>
      <c r="EG22" s="327"/>
      <c r="EH22" s="350">
        <v>10.59</v>
      </c>
      <c r="EI22" s="347"/>
      <c r="EJ22" s="350">
        <v>28.39</v>
      </c>
      <c r="EK22" s="306"/>
      <c r="EL22" s="350">
        <v>30.71</v>
      </c>
      <c r="EM22" s="306"/>
      <c r="EN22" s="350">
        <v>9.1300000000000008</v>
      </c>
      <c r="EO22" s="306"/>
      <c r="EP22" s="350">
        <v>9.85</v>
      </c>
      <c r="EQ22" s="306"/>
      <c r="ER22" s="350">
        <v>19.25</v>
      </c>
      <c r="ES22" s="306"/>
      <c r="ET22" s="350">
        <v>20.86</v>
      </c>
      <c r="EU22" s="306"/>
      <c r="EV22" s="350">
        <v>9.08</v>
      </c>
      <c r="EW22" s="306"/>
      <c r="EX22" s="350">
        <v>9.92</v>
      </c>
      <c r="EY22" s="306"/>
      <c r="EZ22" s="350">
        <v>10.17</v>
      </c>
      <c r="FA22" s="306"/>
      <c r="FB22" s="350">
        <v>10.94</v>
      </c>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c r="HI22" s="306"/>
      <c r="HJ22" s="306"/>
      <c r="HK22" s="306"/>
      <c r="HL22" s="306"/>
      <c r="HM22" s="306"/>
      <c r="HN22" s="306"/>
      <c r="HO22" s="306"/>
      <c r="HP22" s="306"/>
      <c r="HQ22" s="306"/>
      <c r="HR22" s="306"/>
      <c r="HS22" s="306"/>
      <c r="HT22" s="306"/>
      <c r="HU22" s="306"/>
      <c r="HV22" s="306"/>
      <c r="HW22" s="306"/>
      <c r="HX22" s="306"/>
      <c r="HY22" s="306"/>
      <c r="HZ22" s="306"/>
      <c r="IA22" s="306"/>
      <c r="IB22" s="306"/>
    </row>
    <row r="23" spans="1:23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c r="HT23" s="306"/>
      <c r="HU23" s="306"/>
      <c r="HV23" s="306"/>
      <c r="HW23" s="306"/>
      <c r="HX23" s="306"/>
      <c r="HY23" s="306"/>
      <c r="HZ23" s="306"/>
      <c r="IA23" s="306"/>
      <c r="IB23" s="306"/>
    </row>
    <row r="24" spans="1:23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c r="HI24" s="306"/>
      <c r="HJ24" s="306"/>
      <c r="HK24" s="306"/>
      <c r="HL24" s="306"/>
      <c r="HM24" s="306"/>
      <c r="HN24" s="306"/>
      <c r="HO24" s="306"/>
      <c r="HP24" s="306"/>
      <c r="HQ24" s="306"/>
      <c r="HR24" s="306"/>
      <c r="HS24" s="306"/>
      <c r="HT24" s="306"/>
      <c r="HU24" s="306"/>
      <c r="HV24" s="306"/>
      <c r="HW24" s="306"/>
      <c r="HX24" s="306"/>
      <c r="HY24" s="306"/>
      <c r="HZ24" s="306"/>
      <c r="IA24" s="306"/>
      <c r="IB24" s="306"/>
    </row>
    <row r="25" spans="1:236">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c r="HT25" s="306"/>
      <c r="HU25" s="306"/>
      <c r="HV25" s="306"/>
      <c r="HW25" s="306"/>
      <c r="HX25" s="306"/>
      <c r="HY25" s="306"/>
      <c r="HZ25" s="306"/>
      <c r="IA25" s="306"/>
      <c r="IB25" s="306"/>
    </row>
    <row r="26" spans="1:23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c r="HI26" s="306"/>
      <c r="HJ26" s="306"/>
      <c r="HK26" s="306"/>
      <c r="HL26" s="306"/>
      <c r="HM26" s="306"/>
      <c r="HN26" s="306"/>
      <c r="HO26" s="306"/>
      <c r="HP26" s="306"/>
      <c r="HQ26" s="306"/>
      <c r="HR26" s="306"/>
      <c r="HS26" s="306"/>
      <c r="HT26" s="306"/>
      <c r="HU26" s="306"/>
      <c r="HV26" s="306"/>
      <c r="HW26" s="306"/>
      <c r="HX26" s="306"/>
      <c r="HY26" s="306"/>
      <c r="HZ26" s="306"/>
      <c r="IA26" s="306"/>
      <c r="IB26" s="306"/>
    </row>
    <row r="27" spans="1:23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c r="HI27" s="306"/>
      <c r="HJ27" s="306"/>
      <c r="HK27" s="306"/>
      <c r="HL27" s="306"/>
      <c r="HM27" s="306"/>
      <c r="HN27" s="306"/>
      <c r="HO27" s="306"/>
      <c r="HP27" s="306"/>
      <c r="HQ27" s="306"/>
      <c r="HR27" s="306"/>
      <c r="HS27" s="306"/>
      <c r="HT27" s="306"/>
      <c r="HU27" s="306"/>
      <c r="HV27" s="306"/>
      <c r="HW27" s="306"/>
      <c r="HX27" s="306"/>
      <c r="HY27" s="306"/>
      <c r="HZ27" s="306"/>
      <c r="IA27" s="306"/>
      <c r="IB27" s="306"/>
    </row>
    <row r="28" spans="1:23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c r="HI28" s="306"/>
      <c r="HJ28" s="306"/>
      <c r="HK28" s="306"/>
      <c r="HL28" s="306"/>
      <c r="HM28" s="306"/>
      <c r="HN28" s="306"/>
      <c r="HO28" s="306"/>
      <c r="HP28" s="306"/>
      <c r="HQ28" s="306"/>
      <c r="HR28" s="306"/>
      <c r="HS28" s="306"/>
      <c r="HT28" s="306"/>
      <c r="HU28" s="306"/>
      <c r="HV28" s="306"/>
      <c r="HW28" s="306"/>
      <c r="HX28" s="306"/>
      <c r="HY28" s="306"/>
      <c r="HZ28" s="306"/>
      <c r="IA28" s="306"/>
      <c r="IB28" s="306"/>
    </row>
    <row r="29" spans="1:23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c r="HI29" s="306"/>
      <c r="HJ29" s="306"/>
      <c r="HK29" s="306"/>
      <c r="HL29" s="306"/>
      <c r="HM29" s="306"/>
      <c r="HN29" s="306"/>
      <c r="HO29" s="306"/>
      <c r="HP29" s="306"/>
      <c r="HQ29" s="306"/>
      <c r="HR29" s="306"/>
      <c r="HS29" s="306"/>
      <c r="HT29" s="306"/>
      <c r="HU29" s="306"/>
      <c r="HV29" s="306"/>
      <c r="HW29" s="306"/>
      <c r="HX29" s="306"/>
      <c r="HY29" s="306"/>
      <c r="HZ29" s="306"/>
      <c r="IA29" s="306"/>
      <c r="IB29" s="306"/>
    </row>
    <row r="30" spans="1:23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c r="FS30" s="306"/>
      <c r="FT30" s="306"/>
      <c r="FU30" s="306"/>
      <c r="FV30" s="306"/>
      <c r="FW30" s="306"/>
      <c r="FX30" s="306"/>
      <c r="FY30" s="306"/>
      <c r="FZ30" s="306"/>
      <c r="GA30" s="306"/>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c r="HI30" s="306"/>
      <c r="HJ30" s="306"/>
      <c r="HK30" s="306"/>
      <c r="HL30" s="306"/>
      <c r="HM30" s="306"/>
      <c r="HN30" s="306"/>
      <c r="HO30" s="306"/>
      <c r="HP30" s="306"/>
      <c r="HQ30" s="306"/>
      <c r="HR30" s="306"/>
      <c r="HS30" s="306"/>
      <c r="HT30" s="306"/>
      <c r="HU30" s="306"/>
      <c r="HV30" s="306"/>
      <c r="HW30" s="306"/>
      <c r="HX30" s="306"/>
      <c r="HY30" s="306"/>
      <c r="HZ30" s="306"/>
      <c r="IA30" s="306"/>
      <c r="IB30" s="306"/>
    </row>
    <row r="31" spans="1:23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06"/>
      <c r="FC31" s="306"/>
      <c r="FD31" s="306"/>
      <c r="FE31" s="306"/>
      <c r="FF31" s="306"/>
      <c r="FG31" s="306"/>
      <c r="FH31" s="306"/>
      <c r="FI31" s="306"/>
      <c r="FJ31" s="306"/>
      <c r="FK31" s="306"/>
      <c r="FL31" s="306"/>
      <c r="FM31" s="306"/>
      <c r="FN31" s="306"/>
      <c r="FO31" s="306"/>
      <c r="FP31" s="306"/>
      <c r="FQ31" s="306"/>
      <c r="FR31" s="306"/>
      <c r="FS31" s="306"/>
      <c r="FT31" s="306"/>
      <c r="FU31" s="306"/>
      <c r="FV31" s="306"/>
      <c r="FW31" s="306"/>
      <c r="FX31" s="306"/>
      <c r="FY31" s="306"/>
      <c r="FZ31" s="306"/>
      <c r="GA31" s="306"/>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c r="HI31" s="306"/>
      <c r="HJ31" s="306"/>
      <c r="HK31" s="306"/>
      <c r="HL31" s="306"/>
      <c r="HM31" s="306"/>
      <c r="HN31" s="306"/>
      <c r="HO31" s="306"/>
      <c r="HP31" s="306"/>
      <c r="HQ31" s="306"/>
      <c r="HR31" s="306"/>
      <c r="HS31" s="306"/>
      <c r="HT31" s="306"/>
      <c r="HU31" s="306"/>
      <c r="HV31" s="306"/>
      <c r="HW31" s="306"/>
      <c r="HX31" s="306"/>
      <c r="HY31" s="306"/>
      <c r="HZ31" s="306"/>
      <c r="IA31" s="306"/>
      <c r="IB31" s="306"/>
    </row>
  </sheetData>
  <customSheetViews>
    <customSheetView guid="{786DE933-524F-40D1-8033-C008687087FC}">
      <pageMargins left="0.7" right="0.7" top="0.75" bottom="0.75" header="0.3" footer="0.3"/>
      <pageSetup paperSize="9" orientation="portrait" r:id="rId1"/>
    </customSheetView>
    <customSheetView guid="{627AEB6E-B9F1-415E-9A60-881757A50C67}">
      <selection activeCell="J11" sqref="J11"/>
      <pageMargins left="0.7" right="0.7" top="0.75" bottom="0.75" header="0.3" footer="0.3"/>
      <pageSetup paperSize="9" orientation="portrait" r:id="rId2"/>
    </customSheetView>
    <customSheetView guid="{874BA5F8-BD95-4DDF-8F31-98DB154CA965}">
      <selection activeCell="C9" sqref="C9"/>
      <pageMargins left="0.7" right="0.7" top="0.75" bottom="0.75" header="0.3" footer="0.3"/>
    </customSheetView>
    <customSheetView guid="{AAA495E0-27FD-4941-85B8-9038B6AD4FA3}">
      <selection activeCell="C9" sqref="C9"/>
      <pageMargins left="0.7" right="0.7" top="0.75" bottom="0.75" header="0.3" footer="0.3"/>
    </customSheetView>
    <customSheetView guid="{77EFF5B1-32BE-4080-9902-B97F43099026}">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24"/>
  <sheetViews>
    <sheetView zoomScale="90" zoomScaleNormal="90" workbookViewId="0">
      <pane xSplit="1" ySplit="4" topLeftCell="N5" activePane="bottomRight" state="frozen"/>
      <selection activeCell="C154" sqref="C154"/>
      <selection pane="topRight" activeCell="C154" sqref="C154"/>
      <selection pane="bottomLeft" activeCell="C154" sqref="C154"/>
      <selection pane="bottomRight" activeCell="T5" sqref="T5"/>
    </sheetView>
  </sheetViews>
  <sheetFormatPr defaultColWidth="12.42578125" defaultRowHeight="15"/>
  <cols>
    <col min="1" max="1" width="93.85546875" style="88" customWidth="1"/>
    <col min="2" max="2" width="21.85546875" style="88" customWidth="1"/>
    <col min="3" max="8" width="21.5703125" style="88" customWidth="1"/>
    <col min="9" max="9" width="25.140625" style="88" customWidth="1"/>
    <col min="10" max="10" width="16" style="88" customWidth="1"/>
    <col min="11" max="11" width="18" style="88" customWidth="1"/>
    <col min="12" max="14" width="16.7109375" style="88" customWidth="1"/>
    <col min="15" max="15" width="16.5703125" style="88" customWidth="1"/>
    <col min="16" max="16" width="17.85546875" style="88" customWidth="1"/>
    <col min="17" max="17" width="17.5703125" style="88" customWidth="1"/>
    <col min="18" max="18" width="16.85546875" style="88" customWidth="1"/>
    <col min="19" max="19" width="16.42578125" style="88" customWidth="1"/>
    <col min="20" max="20" width="13.28515625" style="88" customWidth="1"/>
    <col min="21" max="16384" width="12.42578125" style="88"/>
  </cols>
  <sheetData>
    <row r="1" spans="1:24" ht="27.95" customHeight="1">
      <c r="A1" s="86" t="s">
        <v>699</v>
      </c>
      <c r="B1" s="188"/>
      <c r="C1" s="87"/>
    </row>
    <row r="2" spans="1:24" ht="15.75">
      <c r="A2" s="135" t="s">
        <v>483</v>
      </c>
      <c r="B2" s="136"/>
      <c r="C2" s="136"/>
      <c r="D2" s="136"/>
      <c r="E2" s="136"/>
      <c r="F2" s="137"/>
      <c r="G2" s="137"/>
      <c r="H2" s="137"/>
      <c r="I2" s="137"/>
      <c r="J2" s="137"/>
      <c r="K2" s="137"/>
      <c r="L2" s="137"/>
      <c r="M2" s="137"/>
      <c r="N2" s="137"/>
      <c r="O2" s="137"/>
      <c r="P2" s="137"/>
      <c r="Q2" s="137"/>
      <c r="R2" s="137"/>
      <c r="S2" s="137"/>
      <c r="T2" s="137"/>
    </row>
    <row r="3" spans="1:24" ht="76.5">
      <c r="A3" s="139" t="s">
        <v>484</v>
      </c>
      <c r="B3" s="89" t="s">
        <v>700</v>
      </c>
      <c r="C3" s="89" t="s">
        <v>701</v>
      </c>
      <c r="D3" s="89" t="s">
        <v>702</v>
      </c>
      <c r="E3" s="89" t="s">
        <v>703</v>
      </c>
      <c r="F3" s="89" t="s">
        <v>704</v>
      </c>
      <c r="G3" s="140" t="s">
        <v>705</v>
      </c>
      <c r="H3" s="89" t="s">
        <v>706</v>
      </c>
      <c r="I3" s="140" t="s">
        <v>707</v>
      </c>
      <c r="J3" s="89" t="s">
        <v>708</v>
      </c>
      <c r="K3" s="89" t="s">
        <v>709</v>
      </c>
      <c r="L3" s="89" t="s">
        <v>710</v>
      </c>
      <c r="M3" s="89" t="s">
        <v>711</v>
      </c>
      <c r="N3" s="89" t="s">
        <v>712</v>
      </c>
      <c r="O3" s="89" t="s">
        <v>713</v>
      </c>
      <c r="P3" s="89" t="s">
        <v>818</v>
      </c>
      <c r="Q3" s="89" t="s">
        <v>714</v>
      </c>
      <c r="R3" s="140" t="s">
        <v>891</v>
      </c>
      <c r="S3" s="89" t="s">
        <v>923</v>
      </c>
      <c r="T3" s="89" t="s">
        <v>978</v>
      </c>
    </row>
    <row r="4" spans="1:24">
      <c r="A4" s="107"/>
      <c r="B4" s="189"/>
      <c r="C4" s="189"/>
      <c r="D4" s="189"/>
      <c r="E4" s="189"/>
      <c r="F4" s="190"/>
      <c r="G4" s="190"/>
      <c r="H4" s="191"/>
    </row>
    <row r="5" spans="1:24">
      <c r="A5" s="131" t="s">
        <v>135</v>
      </c>
      <c r="B5" s="457">
        <v>7260289</v>
      </c>
      <c r="C5" s="457">
        <v>8168590</v>
      </c>
      <c r="D5" s="457">
        <v>10331144</v>
      </c>
      <c r="E5" s="457">
        <v>10424078</v>
      </c>
      <c r="F5" s="457">
        <v>12313986</v>
      </c>
      <c r="G5" s="457">
        <v>12438999</v>
      </c>
      <c r="H5" s="457">
        <f>9706524-32922</f>
        <v>9673602</v>
      </c>
      <c r="I5" s="457">
        <v>9426214</v>
      </c>
      <c r="J5" s="457">
        <v>9305450</v>
      </c>
      <c r="K5" s="192">
        <v>9214448</v>
      </c>
      <c r="L5" s="192">
        <v>9256614</v>
      </c>
      <c r="M5" s="192">
        <v>9118610</v>
      </c>
      <c r="N5" s="192">
        <v>8841026</v>
      </c>
      <c r="O5" s="192">
        <v>8805463</v>
      </c>
      <c r="P5" s="192">
        <v>8758024</v>
      </c>
      <c r="Q5" s="192">
        <f>17424551-P5</f>
        <v>8666527</v>
      </c>
      <c r="R5" s="192">
        <f>9202371-376837</f>
        <v>8825534</v>
      </c>
      <c r="S5" s="192">
        <v>9296214</v>
      </c>
      <c r="T5" s="192">
        <v>10397854</v>
      </c>
      <c r="U5" s="192"/>
    </row>
    <row r="6" spans="1:24" ht="26.25">
      <c r="A6" s="185" t="s">
        <v>515</v>
      </c>
      <c r="B6" s="457">
        <v>-5996628</v>
      </c>
      <c r="C6" s="457">
        <v>-7092500</v>
      </c>
      <c r="D6" s="457">
        <v>-8929150</v>
      </c>
      <c r="E6" s="457">
        <v>-9245204</v>
      </c>
      <c r="F6" s="457">
        <v>-10493905</v>
      </c>
      <c r="G6" s="457">
        <v>-10788149</v>
      </c>
      <c r="H6" s="457">
        <f>-7928047+32922</f>
        <v>-7895125</v>
      </c>
      <c r="I6" s="457">
        <v>-8062414</v>
      </c>
      <c r="J6" s="457">
        <v>-7644323</v>
      </c>
      <c r="K6" s="192">
        <v>-7946875</v>
      </c>
      <c r="L6" s="192">
        <v>-7612275</v>
      </c>
      <c r="M6" s="192">
        <v>-11528500</v>
      </c>
      <c r="N6" s="192">
        <v>-8177337</v>
      </c>
      <c r="O6" s="192">
        <v>-7540125</v>
      </c>
      <c r="P6" s="192">
        <v>-7016774</v>
      </c>
      <c r="Q6" s="192">
        <f>-14512207-P6</f>
        <v>-7495433</v>
      </c>
      <c r="R6" s="192">
        <f>-7926786+376837</f>
        <v>-7549949</v>
      </c>
      <c r="S6" s="192">
        <v>-8887198</v>
      </c>
      <c r="T6" s="192">
        <v>-8950024</v>
      </c>
      <c r="U6" s="192"/>
    </row>
    <row r="7" spans="1:24">
      <c r="A7" s="107" t="s">
        <v>516</v>
      </c>
      <c r="B7" s="457">
        <v>1263661</v>
      </c>
      <c r="C7" s="457">
        <v>1076090</v>
      </c>
      <c r="D7" s="457">
        <v>1401994</v>
      </c>
      <c r="E7" s="457">
        <v>1178874</v>
      </c>
      <c r="F7" s="457">
        <v>1820081</v>
      </c>
      <c r="G7" s="457">
        <v>1650850</v>
      </c>
      <c r="H7" s="457">
        <f>1778477</f>
        <v>1778477</v>
      </c>
      <c r="I7" s="457">
        <v>1363800</v>
      </c>
      <c r="J7" s="457">
        <v>1661127</v>
      </c>
      <c r="K7" s="192">
        <v>1267573</v>
      </c>
      <c r="L7" s="192">
        <v>1644339</v>
      </c>
      <c r="M7" s="192">
        <v>-2409890</v>
      </c>
      <c r="N7" s="192">
        <v>663689</v>
      </c>
      <c r="O7" s="192">
        <v>1265338</v>
      </c>
      <c r="P7" s="192">
        <v>1741250</v>
      </c>
      <c r="Q7" s="192">
        <v>1171094</v>
      </c>
      <c r="R7" s="192">
        <v>1275585</v>
      </c>
      <c r="S7" s="192">
        <v>409016</v>
      </c>
      <c r="T7" s="192">
        <v>1447830</v>
      </c>
      <c r="U7" s="192"/>
      <c r="V7" s="192"/>
      <c r="W7" s="192"/>
      <c r="X7" s="192"/>
    </row>
    <row r="8" spans="1:24">
      <c r="A8" s="131" t="s">
        <v>517</v>
      </c>
      <c r="B8" s="457">
        <v>52643</v>
      </c>
      <c r="C8" s="457">
        <v>52543</v>
      </c>
      <c r="D8" s="457">
        <v>44458</v>
      </c>
      <c r="E8" s="457">
        <v>54988</v>
      </c>
      <c r="F8" s="457">
        <v>48800</v>
      </c>
      <c r="G8" s="457">
        <v>70101</v>
      </c>
      <c r="H8" s="457">
        <v>63082</v>
      </c>
      <c r="I8" s="457">
        <v>64354</v>
      </c>
      <c r="J8" s="457">
        <v>79801</v>
      </c>
      <c r="K8" s="192">
        <v>153505</v>
      </c>
      <c r="L8" s="192">
        <v>73322</v>
      </c>
      <c r="M8" s="192">
        <v>98033</v>
      </c>
      <c r="N8" s="734" t="s">
        <v>597</v>
      </c>
      <c r="O8" s="735"/>
      <c r="P8" s="735"/>
      <c r="Q8" s="735"/>
      <c r="R8" s="735"/>
      <c r="S8" s="736"/>
      <c r="T8" s="673"/>
      <c r="U8" s="192"/>
    </row>
    <row r="9" spans="1:24">
      <c r="A9" s="131" t="s">
        <v>518</v>
      </c>
      <c r="B9" s="457">
        <v>-109214</v>
      </c>
      <c r="C9" s="457">
        <v>-122038</v>
      </c>
      <c r="D9" s="457">
        <v>-150790</v>
      </c>
      <c r="E9" s="457">
        <v>-132592</v>
      </c>
      <c r="F9" s="457">
        <v>-230974</v>
      </c>
      <c r="G9" s="457">
        <v>-321317</v>
      </c>
      <c r="H9" s="457">
        <v>-270173</v>
      </c>
      <c r="I9" s="457">
        <v>-283329</v>
      </c>
      <c r="J9" s="457">
        <v>-257189</v>
      </c>
      <c r="K9" s="192">
        <v>-291975</v>
      </c>
      <c r="L9" s="192">
        <v>-237832</v>
      </c>
      <c r="M9" s="192">
        <v>-251027</v>
      </c>
      <c r="N9" s="192">
        <v>-217589</v>
      </c>
      <c r="O9" s="192">
        <v>-241602</v>
      </c>
      <c r="P9" s="192">
        <v>-225527</v>
      </c>
      <c r="Q9" s="192">
        <v>-266102</v>
      </c>
      <c r="R9" s="192">
        <v>-228322</v>
      </c>
      <c r="S9" s="192">
        <v>-249472</v>
      </c>
      <c r="T9" s="192">
        <v>-231801</v>
      </c>
      <c r="U9" s="192"/>
    </row>
    <row r="10" spans="1:24">
      <c r="A10" s="131" t="s">
        <v>296</v>
      </c>
      <c r="B10" s="457">
        <v>-340620</v>
      </c>
      <c r="C10" s="457">
        <v>-329688</v>
      </c>
      <c r="D10" s="457">
        <v>-308572</v>
      </c>
      <c r="E10" s="457">
        <v>-355398</v>
      </c>
      <c r="F10" s="457">
        <v>-339879</v>
      </c>
      <c r="G10" s="457">
        <v>-394875</v>
      </c>
      <c r="H10" s="457">
        <v>-342054</v>
      </c>
      <c r="I10" s="457">
        <v>-303352</v>
      </c>
      <c r="J10" s="457">
        <v>-332199</v>
      </c>
      <c r="K10" s="192">
        <v>-331988</v>
      </c>
      <c r="L10" s="192">
        <v>-312824</v>
      </c>
      <c r="M10" s="192">
        <v>-306145</v>
      </c>
      <c r="N10" s="192">
        <v>-317979</v>
      </c>
      <c r="O10" s="192">
        <v>-334848</v>
      </c>
      <c r="P10" s="192">
        <v>-304563</v>
      </c>
      <c r="Q10" s="192">
        <v>-305802</v>
      </c>
      <c r="R10" s="192">
        <v>-283605</v>
      </c>
      <c r="S10" s="192">
        <v>-347882</v>
      </c>
      <c r="T10" s="192">
        <v>-299103</v>
      </c>
      <c r="U10" s="192"/>
    </row>
    <row r="11" spans="1:24">
      <c r="A11" s="131" t="s">
        <v>519</v>
      </c>
      <c r="B11" s="457">
        <v>-83719</v>
      </c>
      <c r="C11" s="457">
        <v>-60399</v>
      </c>
      <c r="D11" s="457">
        <v>-49012</v>
      </c>
      <c r="E11" s="457">
        <v>-38446</v>
      </c>
      <c r="F11" s="457">
        <v>-44623</v>
      </c>
      <c r="G11" s="457">
        <v>-93035</v>
      </c>
      <c r="H11" s="457">
        <v>-39558</v>
      </c>
      <c r="I11" s="457">
        <v>-95565</v>
      </c>
      <c r="J11" s="457">
        <v>-69086</v>
      </c>
      <c r="K11" s="192">
        <v>-49456</v>
      </c>
      <c r="L11" s="192">
        <v>-122703</v>
      </c>
      <c r="M11" s="192">
        <v>-76414</v>
      </c>
      <c r="N11" s="734" t="s">
        <v>597</v>
      </c>
      <c r="O11" s="735"/>
      <c r="P11" s="735"/>
      <c r="Q11" s="735"/>
      <c r="R11" s="735"/>
      <c r="S11" s="736"/>
      <c r="T11" s="192"/>
      <c r="U11" s="192"/>
    </row>
    <row r="12" spans="1:24">
      <c r="A12" s="131" t="s">
        <v>984</v>
      </c>
      <c r="B12" s="737" t="s">
        <v>597</v>
      </c>
      <c r="C12" s="735"/>
      <c r="D12" s="735"/>
      <c r="E12" s="735"/>
      <c r="F12" s="735"/>
      <c r="G12" s="735"/>
      <c r="H12" s="735"/>
      <c r="I12" s="735"/>
      <c r="J12" s="735"/>
      <c r="K12" s="735"/>
      <c r="L12" s="735"/>
      <c r="M12" s="735"/>
      <c r="N12" s="192">
        <v>15293</v>
      </c>
      <c r="O12" s="192">
        <v>-30780</v>
      </c>
      <c r="P12" s="192">
        <v>26034</v>
      </c>
      <c r="Q12" s="192">
        <v>-30113</v>
      </c>
      <c r="R12" s="192">
        <v>145784</v>
      </c>
      <c r="S12" s="192">
        <v>14735</v>
      </c>
      <c r="T12" s="192">
        <v>21672</v>
      </c>
      <c r="U12" s="192"/>
    </row>
    <row r="13" spans="1:24">
      <c r="A13" s="413" t="s">
        <v>520</v>
      </c>
      <c r="B13" s="738" t="s">
        <v>521</v>
      </c>
      <c r="C13" s="739"/>
      <c r="D13" s="739"/>
      <c r="E13" s="739"/>
      <c r="F13" s="739"/>
      <c r="G13" s="739"/>
      <c r="H13" s="739"/>
      <c r="I13" s="739"/>
      <c r="J13" s="739"/>
      <c r="K13" s="739"/>
      <c r="L13" s="739"/>
      <c r="M13" s="739"/>
      <c r="N13" s="739"/>
      <c r="O13" s="739"/>
      <c r="P13" s="192">
        <v>58330</v>
      </c>
      <c r="Q13" s="192">
        <f>73050-P13</f>
        <v>14720</v>
      </c>
      <c r="R13" s="192">
        <v>45442</v>
      </c>
      <c r="S13" s="192">
        <v>9448</v>
      </c>
      <c r="T13" s="192">
        <v>50025</v>
      </c>
      <c r="U13" s="192"/>
    </row>
    <row r="14" spans="1:24">
      <c r="A14" s="107" t="s">
        <v>522</v>
      </c>
      <c r="B14" s="457">
        <v>782751</v>
      </c>
      <c r="C14" s="457">
        <v>616508</v>
      </c>
      <c r="D14" s="457">
        <v>938078</v>
      </c>
      <c r="E14" s="457">
        <v>707426</v>
      </c>
      <c r="F14" s="457">
        <v>1253405</v>
      </c>
      <c r="G14" s="457">
        <v>911724</v>
      </c>
      <c r="H14" s="457">
        <f>1189774</f>
        <v>1189774</v>
      </c>
      <c r="I14" s="457">
        <v>745908</v>
      </c>
      <c r="J14" s="457">
        <v>1082454</v>
      </c>
      <c r="K14" s="192">
        <v>747659</v>
      </c>
      <c r="L14" s="192">
        <v>1044302</v>
      </c>
      <c r="M14" s="192">
        <v>-2945443</v>
      </c>
      <c r="N14" s="192">
        <v>143414</v>
      </c>
      <c r="O14" s="192">
        <v>658108</v>
      </c>
      <c r="P14" s="192">
        <v>1295524</v>
      </c>
      <c r="Q14" s="192">
        <f>Q7+Q9+Q10+Q12+Q13</f>
        <v>583797</v>
      </c>
      <c r="R14" s="192">
        <v>954884</v>
      </c>
      <c r="S14" s="192">
        <v>-164155</v>
      </c>
      <c r="T14" s="192">
        <v>988623</v>
      </c>
      <c r="U14" s="192"/>
    </row>
    <row r="15" spans="1:24">
      <c r="A15" s="131" t="s">
        <v>523</v>
      </c>
      <c r="B15" s="457">
        <v>43783</v>
      </c>
      <c r="C15" s="457">
        <v>48501</v>
      </c>
      <c r="D15" s="457">
        <v>54821</v>
      </c>
      <c r="E15" s="457">
        <v>60946</v>
      </c>
      <c r="F15" s="457">
        <v>53337</v>
      </c>
      <c r="G15" s="457">
        <v>77969</v>
      </c>
      <c r="H15" s="457">
        <v>58663</v>
      </c>
      <c r="I15" s="457">
        <v>40594</v>
      </c>
      <c r="J15" s="457">
        <v>28961</v>
      </c>
      <c r="K15" s="192">
        <v>57237</v>
      </c>
      <c r="L15" s="192">
        <v>42078</v>
      </c>
      <c r="M15" s="192">
        <v>31374</v>
      </c>
      <c r="N15" s="740" t="s">
        <v>597</v>
      </c>
      <c r="O15" s="673"/>
      <c r="P15" s="673"/>
      <c r="Q15" s="673"/>
      <c r="R15" s="673"/>
      <c r="S15" s="673"/>
      <c r="T15" s="673"/>
      <c r="U15" s="192"/>
    </row>
    <row r="16" spans="1:24">
      <c r="A16" s="131" t="s">
        <v>524</v>
      </c>
      <c r="B16" s="457">
        <v>-105076</v>
      </c>
      <c r="C16" s="457">
        <v>-128917</v>
      </c>
      <c r="D16" s="457">
        <v>-77495</v>
      </c>
      <c r="E16" s="457">
        <v>-82779</v>
      </c>
      <c r="F16" s="457">
        <v>-163715</v>
      </c>
      <c r="G16" s="457">
        <v>-183409</v>
      </c>
      <c r="H16" s="457">
        <v>-160869</v>
      </c>
      <c r="I16" s="457">
        <v>-186124</v>
      </c>
      <c r="J16" s="457">
        <v>-185096</v>
      </c>
      <c r="K16" s="192">
        <v>-232064</v>
      </c>
      <c r="L16" s="192">
        <v>-232447</v>
      </c>
      <c r="M16" s="192">
        <v>-135568</v>
      </c>
      <c r="N16" s="673"/>
      <c r="O16" s="673"/>
      <c r="P16" s="673"/>
      <c r="Q16" s="673"/>
      <c r="R16" s="673"/>
      <c r="S16" s="673"/>
      <c r="T16" s="673"/>
    </row>
    <row r="17" spans="1:42">
      <c r="A17" s="131" t="s">
        <v>300</v>
      </c>
      <c r="B17" s="738" t="s">
        <v>597</v>
      </c>
      <c r="C17" s="735"/>
      <c r="D17" s="735"/>
      <c r="E17" s="735"/>
      <c r="F17" s="735"/>
      <c r="G17" s="735"/>
      <c r="H17" s="735"/>
      <c r="I17" s="735"/>
      <c r="J17" s="735"/>
      <c r="K17" s="735"/>
      <c r="L17" s="735"/>
      <c r="M17" s="735"/>
      <c r="N17" s="192">
        <v>-137959</v>
      </c>
      <c r="O17" s="192">
        <v>-121605</v>
      </c>
      <c r="P17" s="192">
        <v>-98977</v>
      </c>
      <c r="Q17" s="192">
        <v>-110345</v>
      </c>
      <c r="R17" s="192">
        <v>-81430</v>
      </c>
      <c r="S17" s="192">
        <v>-65942</v>
      </c>
      <c r="T17" s="192">
        <v>-113401</v>
      </c>
      <c r="U17" s="192"/>
    </row>
    <row r="18" spans="1:42">
      <c r="A18" s="131" t="s">
        <v>905</v>
      </c>
      <c r="B18" s="735"/>
      <c r="C18" s="735"/>
      <c r="D18" s="735"/>
      <c r="E18" s="735"/>
      <c r="F18" s="735"/>
      <c r="G18" s="735"/>
      <c r="H18" s="735"/>
      <c r="I18" s="735"/>
      <c r="J18" s="735"/>
      <c r="K18" s="735"/>
      <c r="L18" s="735"/>
      <c r="M18" s="735"/>
      <c r="N18" s="192">
        <v>-32641</v>
      </c>
      <c r="O18" s="192">
        <v>-60496</v>
      </c>
      <c r="P18" s="192">
        <v>44045</v>
      </c>
      <c r="Q18" s="192">
        <v>43608</v>
      </c>
      <c r="R18" s="192">
        <v>-148087</v>
      </c>
      <c r="S18" s="192">
        <v>9377</v>
      </c>
      <c r="T18" s="192">
        <v>5</v>
      </c>
    </row>
    <row r="19" spans="1:42" ht="27" customHeight="1">
      <c r="A19" s="413" t="s">
        <v>520</v>
      </c>
      <c r="B19" s="457">
        <v>0</v>
      </c>
      <c r="C19" s="457">
        <v>-236</v>
      </c>
      <c r="D19" s="457">
        <v>-539</v>
      </c>
      <c r="E19" s="457">
        <v>-507</v>
      </c>
      <c r="F19" s="457">
        <v>-671</v>
      </c>
      <c r="G19" s="457">
        <v>-1063</v>
      </c>
      <c r="H19" s="457">
        <v>-1414</v>
      </c>
      <c r="I19" s="457">
        <v>-1295</v>
      </c>
      <c r="J19" s="457">
        <v>-776</v>
      </c>
      <c r="K19" s="192">
        <v>-160</v>
      </c>
      <c r="L19" s="192">
        <v>4870</v>
      </c>
      <c r="M19" s="192">
        <v>3063</v>
      </c>
      <c r="N19" s="192">
        <v>59861</v>
      </c>
      <c r="O19" s="192">
        <v>179</v>
      </c>
      <c r="P19" s="733" t="s">
        <v>525</v>
      </c>
      <c r="Q19" s="673"/>
      <c r="R19" s="673"/>
      <c r="S19" s="673"/>
      <c r="T19" s="673"/>
    </row>
    <row r="20" spans="1:42">
      <c r="A20" s="107" t="s">
        <v>527</v>
      </c>
      <c r="B20" s="457">
        <v>721458</v>
      </c>
      <c r="C20" s="457">
        <v>535856</v>
      </c>
      <c r="D20" s="457">
        <v>914865</v>
      </c>
      <c r="E20" s="457">
        <v>685086</v>
      </c>
      <c r="F20" s="457">
        <v>1142356</v>
      </c>
      <c r="G20" s="457">
        <v>805221</v>
      </c>
      <c r="H20" s="457">
        <f>1086154</f>
        <v>1086154</v>
      </c>
      <c r="I20" s="457">
        <v>599083</v>
      </c>
      <c r="J20" s="457">
        <v>925543</v>
      </c>
      <c r="K20" s="192">
        <v>572672</v>
      </c>
      <c r="L20" s="192">
        <v>858803</v>
      </c>
      <c r="M20" s="192">
        <v>-3046574</v>
      </c>
      <c r="N20" s="192">
        <v>32675</v>
      </c>
      <c r="O20" s="192">
        <v>476186</v>
      </c>
      <c r="P20" s="192">
        <v>1240592</v>
      </c>
      <c r="Q20" s="192">
        <v>517060</v>
      </c>
      <c r="R20" s="192">
        <v>725367</v>
      </c>
      <c r="S20" s="192">
        <v>-220720</v>
      </c>
      <c r="T20" s="192">
        <v>875227</v>
      </c>
    </row>
    <row r="21" spans="1:42">
      <c r="A21" s="131" t="s">
        <v>302</v>
      </c>
      <c r="B21" s="457">
        <v>-148497</v>
      </c>
      <c r="C21" s="457">
        <v>-117434</v>
      </c>
      <c r="D21" s="457">
        <v>-186918</v>
      </c>
      <c r="E21" s="457">
        <v>-146099</v>
      </c>
      <c r="F21" s="457">
        <v>-252135</v>
      </c>
      <c r="G21" s="457">
        <v>-144643</v>
      </c>
      <c r="H21" s="457">
        <f>-194272</f>
        <v>-194272</v>
      </c>
      <c r="I21" s="457">
        <v>-143171</v>
      </c>
      <c r="J21" s="457">
        <v>-191621</v>
      </c>
      <c r="K21" s="192">
        <v>-121034</v>
      </c>
      <c r="L21" s="192">
        <v>-138416</v>
      </c>
      <c r="M21" s="192">
        <v>521972</v>
      </c>
      <c r="N21" s="192">
        <v>-27958</v>
      </c>
      <c r="O21" s="192">
        <v>-110766</v>
      </c>
      <c r="P21" s="192">
        <v>-235115</v>
      </c>
      <c r="Q21" s="192">
        <v>-139591</v>
      </c>
      <c r="R21" s="192">
        <v>-156931</v>
      </c>
      <c r="S21" s="192">
        <v>-140671</v>
      </c>
      <c r="T21" s="192">
        <v>-208287</v>
      </c>
    </row>
    <row r="22" spans="1:42">
      <c r="A22" s="113" t="s">
        <v>529</v>
      </c>
      <c r="B22" s="457">
        <v>572961</v>
      </c>
      <c r="C22" s="457">
        <v>418422</v>
      </c>
      <c r="D22" s="457">
        <v>727947</v>
      </c>
      <c r="E22" s="457">
        <v>538987</v>
      </c>
      <c r="F22" s="457">
        <v>890221</v>
      </c>
      <c r="G22" s="457">
        <v>660578</v>
      </c>
      <c r="H22" s="457">
        <f>891882</f>
        <v>891882</v>
      </c>
      <c r="I22" s="457">
        <v>455912</v>
      </c>
      <c r="J22" s="457">
        <v>733922</v>
      </c>
      <c r="K22" s="192">
        <v>451638</v>
      </c>
      <c r="L22" s="192">
        <v>720387</v>
      </c>
      <c r="M22" s="192">
        <v>-2524602</v>
      </c>
      <c r="N22" s="192">
        <v>4717</v>
      </c>
      <c r="O22" s="192">
        <v>365420</v>
      </c>
      <c r="P22" s="192">
        <v>1005477</v>
      </c>
      <c r="Q22" s="192">
        <v>377469</v>
      </c>
      <c r="R22" s="192">
        <v>568436</v>
      </c>
      <c r="S22" s="192">
        <v>-361391</v>
      </c>
      <c r="T22" s="192">
        <v>666940</v>
      </c>
    </row>
    <row r="23" spans="1:42">
      <c r="A23" s="107"/>
      <c r="B23" s="193"/>
      <c r="C23" s="193"/>
      <c r="D23" s="194"/>
      <c r="E23" s="193"/>
      <c r="F23" s="194"/>
      <c r="G23" s="194"/>
      <c r="H23" s="194"/>
      <c r="I23" s="194"/>
      <c r="J23" s="194"/>
      <c r="K23" s="194"/>
      <c r="L23" s="194"/>
      <c r="M23" s="195"/>
      <c r="N23" s="195"/>
      <c r="O23" s="195"/>
      <c r="P23" s="195"/>
      <c r="Q23" s="195"/>
      <c r="R23" s="195"/>
      <c r="S23" s="195"/>
      <c r="T23" s="195"/>
    </row>
    <row r="24" spans="1:42">
      <c r="A24" s="156" t="s">
        <v>715</v>
      </c>
      <c r="B24" s="196"/>
      <c r="C24" s="160"/>
      <c r="D24" s="197"/>
      <c r="E24" s="160"/>
      <c r="F24" s="197"/>
      <c r="G24" s="197"/>
      <c r="H24" s="198"/>
      <c r="K24" s="192"/>
      <c r="L24" s="192"/>
      <c r="M24" s="192"/>
      <c r="N24" s="192"/>
      <c r="O24" s="192"/>
      <c r="P24" s="192"/>
      <c r="S24" s="192"/>
    </row>
    <row r="25" spans="1:42" s="200" customFormat="1">
      <c r="A25" s="461" t="s">
        <v>531</v>
      </c>
      <c r="B25" s="457">
        <v>0</v>
      </c>
      <c r="C25" s="199">
        <v>0</v>
      </c>
      <c r="D25" s="457">
        <v>0</v>
      </c>
      <c r="E25" s="457">
        <v>0</v>
      </c>
      <c r="F25" s="457">
        <v>11393</v>
      </c>
      <c r="G25" s="457">
        <v>-11393</v>
      </c>
      <c r="H25" s="457">
        <v>0</v>
      </c>
      <c r="I25" s="457">
        <v>0</v>
      </c>
      <c r="J25" s="457">
        <v>0</v>
      </c>
      <c r="K25" s="192">
        <v>0</v>
      </c>
      <c r="L25" s="192">
        <v>0</v>
      </c>
      <c r="M25" s="192">
        <v>0</v>
      </c>
      <c r="N25" s="192">
        <v>0</v>
      </c>
      <c r="O25" s="192">
        <v>0</v>
      </c>
      <c r="P25" s="192"/>
      <c r="Q25" s="88"/>
      <c r="R25" s="88"/>
      <c r="S25" s="192"/>
      <c r="T25" s="88"/>
      <c r="U25" s="88"/>
      <c r="V25" s="88"/>
      <c r="W25" s="88"/>
      <c r="X25" s="88"/>
      <c r="Y25" s="88"/>
      <c r="Z25" s="88"/>
      <c r="AA25" s="88"/>
      <c r="AB25" s="88"/>
      <c r="AC25" s="88"/>
      <c r="AD25" s="88"/>
      <c r="AE25" s="88"/>
      <c r="AF25" s="88"/>
      <c r="AG25" s="88"/>
      <c r="AH25" s="88"/>
      <c r="AI25" s="88"/>
      <c r="AJ25" s="88"/>
      <c r="AK25" s="88"/>
      <c r="AL25" s="88"/>
      <c r="AM25" s="88"/>
      <c r="AN25" s="88"/>
      <c r="AO25" s="88"/>
      <c r="AP25" s="88"/>
    </row>
    <row r="26" spans="1:42">
      <c r="A26" s="132" t="s">
        <v>532</v>
      </c>
      <c r="B26" s="457">
        <v>-7886</v>
      </c>
      <c r="C26" s="199">
        <v>8998</v>
      </c>
      <c r="D26" s="457">
        <v>0</v>
      </c>
      <c r="E26" s="457">
        <v>0</v>
      </c>
      <c r="F26" s="457">
        <v>-40141</v>
      </c>
      <c r="G26" s="457">
        <v>-149615</v>
      </c>
      <c r="H26" s="457">
        <v>36844</v>
      </c>
      <c r="I26" s="171">
        <v>-3447</v>
      </c>
      <c r="J26" s="171">
        <v>-22462</v>
      </c>
      <c r="K26" s="171">
        <v>2255</v>
      </c>
      <c r="L26" s="192">
        <v>48628</v>
      </c>
      <c r="M26" s="192">
        <v>37304</v>
      </c>
      <c r="N26" s="192">
        <v>48846</v>
      </c>
      <c r="O26" s="192">
        <v>78406</v>
      </c>
      <c r="P26" s="192">
        <v>-9075</v>
      </c>
      <c r="Q26" s="192">
        <v>916</v>
      </c>
      <c r="R26" s="192">
        <v>-13184</v>
      </c>
      <c r="S26" s="192">
        <v>-11113</v>
      </c>
      <c r="T26" s="192">
        <v>-3363</v>
      </c>
    </row>
    <row r="27" spans="1:42" ht="26.25">
      <c r="A27" s="461" t="s">
        <v>533</v>
      </c>
      <c r="B27" s="201" t="s">
        <v>55</v>
      </c>
      <c r="C27" s="201" t="s">
        <v>55</v>
      </c>
      <c r="D27" s="201" t="s">
        <v>55</v>
      </c>
      <c r="E27" s="457">
        <v>37149</v>
      </c>
      <c r="F27" s="457">
        <v>-7036</v>
      </c>
      <c r="G27" s="457">
        <v>-214038</v>
      </c>
      <c r="H27" s="457">
        <v>5391</v>
      </c>
      <c r="I27" s="171">
        <v>16456</v>
      </c>
      <c r="J27" s="171">
        <v>6643</v>
      </c>
      <c r="K27" s="171">
        <v>-345237</v>
      </c>
      <c r="L27" s="192">
        <v>1601</v>
      </c>
      <c r="M27" s="192">
        <f>62535+387</f>
        <v>62922</v>
      </c>
      <c r="N27" s="192">
        <v>-1429</v>
      </c>
      <c r="O27" s="192">
        <f>'Hist. dane roczne - FY figures'!I26-'Hist. dane półr. - H figures'!N27</f>
        <v>206026</v>
      </c>
      <c r="P27" s="192">
        <v>5630</v>
      </c>
      <c r="Q27" s="192">
        <v>14023</v>
      </c>
      <c r="R27" s="192">
        <v>6239</v>
      </c>
      <c r="S27" s="192">
        <v>-21069</v>
      </c>
      <c r="T27" s="192">
        <v>8301</v>
      </c>
    </row>
    <row r="28" spans="1:42" ht="26.25">
      <c r="A28" s="461" t="s">
        <v>304</v>
      </c>
      <c r="B28" s="457">
        <v>0</v>
      </c>
      <c r="C28" s="199">
        <v>-271</v>
      </c>
      <c r="D28" s="457">
        <v>151</v>
      </c>
      <c r="E28" s="457">
        <v>207</v>
      </c>
      <c r="F28" s="457">
        <v>-251</v>
      </c>
      <c r="G28" s="457">
        <v>-206</v>
      </c>
      <c r="H28" s="457">
        <v>359</v>
      </c>
      <c r="I28" s="171">
        <v>-1620</v>
      </c>
      <c r="J28" s="171">
        <v>41</v>
      </c>
      <c r="K28" s="171">
        <v>204</v>
      </c>
      <c r="L28" s="192">
        <v>28</v>
      </c>
      <c r="M28" s="192">
        <v>567</v>
      </c>
      <c r="N28" s="192">
        <v>9922</v>
      </c>
      <c r="O28" s="192">
        <v>69</v>
      </c>
      <c r="P28" s="192">
        <v>-12675</v>
      </c>
      <c r="Q28" s="192">
        <v>10250</v>
      </c>
      <c r="R28" s="192">
        <v>8871</v>
      </c>
      <c r="S28" s="192">
        <v>-1631</v>
      </c>
      <c r="T28" s="192">
        <v>-215</v>
      </c>
    </row>
    <row r="29" spans="1:42" ht="26.25">
      <c r="A29" s="461" t="s">
        <v>306</v>
      </c>
      <c r="B29" s="457">
        <v>0</v>
      </c>
      <c r="C29" s="199">
        <v>0</v>
      </c>
      <c r="D29" s="457">
        <v>0</v>
      </c>
      <c r="E29" s="457">
        <v>0</v>
      </c>
      <c r="F29" s="457">
        <v>0</v>
      </c>
      <c r="G29" s="457">
        <v>0</v>
      </c>
      <c r="H29" s="457">
        <v>0</v>
      </c>
      <c r="I29" s="171">
        <v>0</v>
      </c>
      <c r="J29" s="171">
        <v>0</v>
      </c>
      <c r="K29" s="171">
        <v>0</v>
      </c>
      <c r="L29" s="192">
        <v>0</v>
      </c>
      <c r="M29" s="282">
        <v>-387</v>
      </c>
      <c r="N29" s="192">
        <v>41</v>
      </c>
      <c r="O29" s="192">
        <f>'Hist. dane roczne - FY figures'!I28-'Hist. dane półr. - H figures'!N29</f>
        <v>-1081</v>
      </c>
      <c r="P29" s="192">
        <v>-7</v>
      </c>
      <c r="Q29" s="192">
        <v>-512</v>
      </c>
      <c r="R29" s="192">
        <v>338</v>
      </c>
      <c r="S29" s="192">
        <v>-409</v>
      </c>
      <c r="T29" s="192">
        <v>278</v>
      </c>
    </row>
    <row r="30" spans="1:42" ht="26.25">
      <c r="A30" s="461" t="s">
        <v>534</v>
      </c>
      <c r="B30" s="457">
        <v>1498</v>
      </c>
      <c r="C30" s="199">
        <v>-1709</v>
      </c>
      <c r="D30" s="457">
        <v>0</v>
      </c>
      <c r="E30" s="457">
        <v>-7058</v>
      </c>
      <c r="F30" s="457">
        <f>5462+1337</f>
        <v>6799</v>
      </c>
      <c r="G30" s="457">
        <v>70894</v>
      </c>
      <c r="H30" s="457">
        <v>-8023</v>
      </c>
      <c r="I30" s="171">
        <v>-2472</v>
      </c>
      <c r="J30" s="171">
        <v>3008</v>
      </c>
      <c r="K30" s="171">
        <v>65164</v>
      </c>
      <c r="L30" s="192">
        <v>-9546</v>
      </c>
      <c r="M30" s="192">
        <v>-19041</v>
      </c>
      <c r="N30" s="192">
        <v>-9011</v>
      </c>
      <c r="O30" s="192">
        <v>-54041</v>
      </c>
      <c r="P30" s="192">
        <f>1724-1070</f>
        <v>654</v>
      </c>
      <c r="Q30" s="192">
        <v>-2838</v>
      </c>
      <c r="R30" s="192">
        <v>1321</v>
      </c>
      <c r="S30" s="192">
        <v>6115</v>
      </c>
      <c r="T30" s="192">
        <v>-936</v>
      </c>
    </row>
    <row r="31" spans="1:42" ht="26.25">
      <c r="A31" s="417" t="s">
        <v>535</v>
      </c>
      <c r="B31" s="457">
        <v>-6388</v>
      </c>
      <c r="C31" s="199">
        <v>7018</v>
      </c>
      <c r="D31" s="457">
        <v>151</v>
      </c>
      <c r="E31" s="457">
        <v>30298</v>
      </c>
      <c r="F31" s="457">
        <f>SUM(F25:F30)</f>
        <v>-29236</v>
      </c>
      <c r="G31" s="457">
        <v>-304358</v>
      </c>
      <c r="H31" s="457">
        <v>34571</v>
      </c>
      <c r="I31" s="171">
        <v>8917</v>
      </c>
      <c r="J31" s="171">
        <v>-12770</v>
      </c>
      <c r="K31" s="171">
        <v>-277614</v>
      </c>
      <c r="L31" s="192">
        <v>40711</v>
      </c>
      <c r="M31" s="192">
        <v>81365</v>
      </c>
      <c r="N31" s="192">
        <v>48369</v>
      </c>
      <c r="O31" s="192">
        <v>229379</v>
      </c>
      <c r="P31" s="192">
        <f>SUM(P26:P30)</f>
        <v>-15473</v>
      </c>
      <c r="Q31" s="192">
        <v>21839</v>
      </c>
      <c r="R31" s="192">
        <v>3585</v>
      </c>
      <c r="S31" s="192">
        <v>-28107</v>
      </c>
      <c r="T31" s="192">
        <v>4065</v>
      </c>
    </row>
    <row r="32" spans="1:42">
      <c r="A32" s="109" t="s">
        <v>536</v>
      </c>
      <c r="B32" s="457">
        <v>566573</v>
      </c>
      <c r="C32" s="199">
        <v>425440</v>
      </c>
      <c r="D32" s="457">
        <v>728098</v>
      </c>
      <c r="E32" s="457">
        <v>569285</v>
      </c>
      <c r="F32" s="457">
        <v>860985</v>
      </c>
      <c r="G32" s="457">
        <v>356220</v>
      </c>
      <c r="H32" s="457">
        <v>926453</v>
      </c>
      <c r="I32" s="171">
        <v>464829</v>
      </c>
      <c r="J32" s="171">
        <v>721152</v>
      </c>
      <c r="K32" s="171">
        <v>174024</v>
      </c>
      <c r="L32" s="192">
        <v>761098</v>
      </c>
      <c r="M32" s="192">
        <v>-2443237</v>
      </c>
      <c r="N32" s="192">
        <v>53086</v>
      </c>
      <c r="O32" s="192">
        <v>594799</v>
      </c>
      <c r="P32" s="192">
        <v>990004</v>
      </c>
      <c r="Q32" s="192">
        <v>399308</v>
      </c>
      <c r="R32" s="192">
        <v>572021</v>
      </c>
      <c r="S32" s="192">
        <v>-389498</v>
      </c>
      <c r="T32" s="192">
        <v>671005</v>
      </c>
    </row>
    <row r="33" spans="1:20">
      <c r="A33" s="109" t="s">
        <v>537</v>
      </c>
      <c r="B33" s="197"/>
      <c r="C33" s="202"/>
      <c r="D33" s="197"/>
      <c r="E33" s="197"/>
      <c r="F33" s="197"/>
      <c r="G33" s="457"/>
      <c r="H33" s="457"/>
      <c r="I33" s="171"/>
      <c r="J33" s="171"/>
      <c r="K33" s="171"/>
      <c r="L33" s="192"/>
      <c r="M33" s="192"/>
      <c r="N33" s="192"/>
      <c r="O33" s="192"/>
      <c r="P33" s="192"/>
      <c r="Q33" s="192">
        <v>0</v>
      </c>
      <c r="R33" s="192"/>
      <c r="S33" s="192"/>
      <c r="T33" s="192"/>
    </row>
    <row r="34" spans="1:20">
      <c r="A34" s="132" t="s">
        <v>538</v>
      </c>
      <c r="B34" s="457">
        <v>481767</v>
      </c>
      <c r="C34" s="199">
        <v>376889</v>
      </c>
      <c r="D34" s="457">
        <v>704033</v>
      </c>
      <c r="E34" s="457">
        <v>541083</v>
      </c>
      <c r="F34" s="457">
        <v>857001</v>
      </c>
      <c r="G34" s="457">
        <v>619391</v>
      </c>
      <c r="H34" s="457">
        <v>849232</v>
      </c>
      <c r="I34" s="171">
        <v>460391</v>
      </c>
      <c r="J34" s="171">
        <v>730290</v>
      </c>
      <c r="K34" s="171">
        <v>450603</v>
      </c>
      <c r="L34" s="192">
        <v>718524</v>
      </c>
      <c r="M34" s="192">
        <v>-2525841</v>
      </c>
      <c r="N34" s="192">
        <v>3435</v>
      </c>
      <c r="O34" s="192">
        <v>364033</v>
      </c>
      <c r="P34" s="192">
        <v>1004167</v>
      </c>
      <c r="Q34" s="192">
        <v>376496</v>
      </c>
      <c r="R34" s="192">
        <v>567029</v>
      </c>
      <c r="S34" s="192">
        <v>-362149</v>
      </c>
      <c r="T34" s="192">
        <v>666097</v>
      </c>
    </row>
    <row r="35" spans="1:20">
      <c r="A35" s="132" t="s">
        <v>539</v>
      </c>
      <c r="B35" s="457">
        <v>91194</v>
      </c>
      <c r="C35" s="199">
        <v>41533</v>
      </c>
      <c r="D35" s="457">
        <v>23914</v>
      </c>
      <c r="E35" s="457">
        <v>-2096</v>
      </c>
      <c r="F35" s="457">
        <v>33220</v>
      </c>
      <c r="G35" s="457">
        <v>41187</v>
      </c>
      <c r="H35" s="457">
        <v>42650</v>
      </c>
      <c r="I35" s="171">
        <v>-4479</v>
      </c>
      <c r="J35" s="171">
        <v>3632</v>
      </c>
      <c r="K35" s="171">
        <v>1035</v>
      </c>
      <c r="L35" s="192">
        <v>1863</v>
      </c>
      <c r="M35" s="192">
        <v>1239</v>
      </c>
      <c r="N35" s="192">
        <v>1282</v>
      </c>
      <c r="O35" s="192">
        <v>1387</v>
      </c>
      <c r="P35" s="192">
        <v>1310</v>
      </c>
      <c r="Q35" s="192">
        <v>973</v>
      </c>
      <c r="R35" s="192">
        <v>1407</v>
      </c>
      <c r="S35" s="192">
        <v>758</v>
      </c>
      <c r="T35" s="192">
        <v>843</v>
      </c>
    </row>
    <row r="36" spans="1:20">
      <c r="A36" s="109" t="s">
        <v>312</v>
      </c>
      <c r="B36" s="457"/>
      <c r="C36" s="199"/>
      <c r="D36" s="457"/>
      <c r="E36" s="457"/>
      <c r="F36" s="457"/>
      <c r="G36" s="457"/>
      <c r="H36" s="199"/>
      <c r="I36" s="171"/>
      <c r="J36" s="171"/>
      <c r="K36" s="171"/>
      <c r="L36" s="192"/>
      <c r="M36" s="192"/>
      <c r="N36" s="192"/>
      <c r="O36" s="192"/>
      <c r="P36" s="192"/>
      <c r="Q36" s="192">
        <v>0</v>
      </c>
      <c r="R36" s="192"/>
      <c r="S36" s="192"/>
      <c r="T36" s="192"/>
    </row>
    <row r="37" spans="1:20">
      <c r="A37" s="132" t="s">
        <v>538</v>
      </c>
      <c r="B37" s="457">
        <v>476337</v>
      </c>
      <c r="C37" s="199">
        <v>382814</v>
      </c>
      <c r="D37" s="457">
        <v>704184</v>
      </c>
      <c r="E37" s="457">
        <v>569453</v>
      </c>
      <c r="F37" s="457">
        <v>827803</v>
      </c>
      <c r="G37" s="457">
        <v>329814</v>
      </c>
      <c r="H37" s="457">
        <v>882324</v>
      </c>
      <c r="I37" s="171">
        <v>468104</v>
      </c>
      <c r="J37" s="171">
        <v>717505</v>
      </c>
      <c r="K37" s="171">
        <v>173374</v>
      </c>
      <c r="L37" s="192">
        <v>759233</v>
      </c>
      <c r="M37" s="192">
        <v>-2444534</v>
      </c>
      <c r="N37" s="192">
        <v>51804</v>
      </c>
      <c r="O37" s="192">
        <v>593140</v>
      </c>
      <c r="P37" s="192">
        <v>988688</v>
      </c>
      <c r="Q37" s="192">
        <v>398308</v>
      </c>
      <c r="R37" s="192">
        <v>570605</v>
      </c>
      <c r="S37" s="192">
        <v>-390207</v>
      </c>
      <c r="T37" s="192">
        <v>670143</v>
      </c>
    </row>
    <row r="38" spans="1:20">
      <c r="A38" s="474" t="s">
        <v>539</v>
      </c>
      <c r="B38" s="457">
        <v>90236</v>
      </c>
      <c r="C38" s="199">
        <v>42626</v>
      </c>
      <c r="D38" s="457">
        <v>23914</v>
      </c>
      <c r="E38" s="457">
        <v>-168</v>
      </c>
      <c r="F38" s="457">
        <v>33182</v>
      </c>
      <c r="G38" s="457">
        <v>26406</v>
      </c>
      <c r="H38" s="457">
        <v>44129</v>
      </c>
      <c r="I38" s="171">
        <v>-3275</v>
      </c>
      <c r="J38" s="171">
        <v>3647</v>
      </c>
      <c r="K38" s="171">
        <v>650</v>
      </c>
      <c r="L38" s="192">
        <v>1865</v>
      </c>
      <c r="M38" s="192">
        <v>1297</v>
      </c>
      <c r="N38" s="192">
        <v>1282</v>
      </c>
      <c r="O38" s="192">
        <v>1659</v>
      </c>
      <c r="P38" s="192">
        <v>1316</v>
      </c>
      <c r="Q38" s="192">
        <v>1000</v>
      </c>
      <c r="R38" s="192">
        <v>1416</v>
      </c>
      <c r="S38" s="192">
        <v>709</v>
      </c>
      <c r="T38" s="192">
        <v>862</v>
      </c>
    </row>
    <row r="39" spans="1:20">
      <c r="A39" s="107"/>
      <c r="B39" s="203"/>
      <c r="C39" s="203"/>
      <c r="D39" s="204"/>
      <c r="E39" s="204"/>
      <c r="F39" s="204"/>
      <c r="G39" s="204"/>
      <c r="H39" s="205"/>
      <c r="I39" s="205"/>
      <c r="J39" s="205"/>
      <c r="K39" s="205"/>
      <c r="L39" s="205"/>
      <c r="M39" s="205"/>
      <c r="N39" s="205"/>
      <c r="O39" s="205"/>
      <c r="P39" s="205"/>
      <c r="Q39" s="205"/>
      <c r="R39" s="205"/>
      <c r="S39" s="205"/>
      <c r="T39" s="205"/>
    </row>
    <row r="40" spans="1:20">
      <c r="A40" s="156" t="s">
        <v>540</v>
      </c>
      <c r="B40" s="160"/>
      <c r="C40" s="160"/>
      <c r="D40" s="197"/>
      <c r="E40" s="197"/>
      <c r="F40" s="197"/>
      <c r="G40" s="197"/>
      <c r="H40" s="457"/>
      <c r="I40" s="192"/>
      <c r="J40" s="192"/>
      <c r="K40" s="192"/>
      <c r="L40" s="192"/>
      <c r="M40" s="192"/>
      <c r="N40" s="192"/>
      <c r="O40" s="192"/>
      <c r="P40" s="192"/>
      <c r="Q40" s="192"/>
      <c r="R40" s="192"/>
      <c r="S40" s="192"/>
    </row>
    <row r="41" spans="1:20" ht="26.25">
      <c r="A41" s="463" t="s">
        <v>541</v>
      </c>
      <c r="B41" s="206">
        <v>0.31</v>
      </c>
      <c r="C41" s="206">
        <v>0.23</v>
      </c>
      <c r="D41" s="206">
        <v>0.4</v>
      </c>
      <c r="E41" s="206">
        <v>0.31</v>
      </c>
      <c r="F41" s="206">
        <v>0.49</v>
      </c>
      <c r="G41" s="206">
        <v>0.35</v>
      </c>
      <c r="H41" s="206">
        <v>0.48</v>
      </c>
      <c r="I41" s="206">
        <v>0.27</v>
      </c>
      <c r="J41" s="206">
        <v>0.42</v>
      </c>
      <c r="K41" s="206">
        <v>0.25000000000000006</v>
      </c>
      <c r="L41" s="206">
        <v>0.41</v>
      </c>
      <c r="M41" s="206">
        <v>-1.44</v>
      </c>
      <c r="N41" s="206">
        <v>0</v>
      </c>
      <c r="O41" s="206">
        <v>0.20967625863103062</v>
      </c>
      <c r="P41" s="206">
        <v>0.57297500626107889</v>
      </c>
      <c r="Q41" s="206">
        <v>0.21482761130097994</v>
      </c>
      <c r="R41" s="206">
        <v>0.32354523184411887</v>
      </c>
      <c r="S41" s="206">
        <v>-0.20664125144766107</v>
      </c>
      <c r="T41" s="206">
        <v>0.38007316785503392</v>
      </c>
    </row>
    <row r="42" spans="1:20">
      <c r="F42" s="207"/>
      <c r="G42" s="207"/>
      <c r="H42" s="457"/>
      <c r="S42" s="192"/>
    </row>
    <row r="43" spans="1:20" ht="15.75">
      <c r="A43" s="459" t="s">
        <v>542</v>
      </c>
      <c r="B43" s="168"/>
      <c r="C43" s="168"/>
      <c r="D43" s="168"/>
      <c r="E43" s="168"/>
      <c r="F43" s="208"/>
      <c r="G43" s="208"/>
      <c r="H43" s="208"/>
      <c r="I43" s="208"/>
      <c r="J43" s="208"/>
      <c r="K43" s="208"/>
      <c r="L43" s="208"/>
      <c r="M43" s="208"/>
      <c r="N43" s="208"/>
      <c r="O43" s="208"/>
      <c r="P43" s="208"/>
      <c r="Q43" s="208"/>
      <c r="R43" s="208"/>
      <c r="S43" s="208"/>
      <c r="T43" s="208"/>
    </row>
    <row r="44" spans="1:20" ht="63.75">
      <c r="A44" s="460" t="s">
        <v>484</v>
      </c>
      <c r="B44" s="89" t="s">
        <v>716</v>
      </c>
      <c r="C44" s="89" t="s">
        <v>546</v>
      </c>
      <c r="D44" s="89" t="s">
        <v>717</v>
      </c>
      <c r="E44" s="140" t="s">
        <v>718</v>
      </c>
      <c r="F44" s="89" t="s">
        <v>719</v>
      </c>
      <c r="G44" s="140" t="s">
        <v>720</v>
      </c>
      <c r="H44" s="89" t="s">
        <v>721</v>
      </c>
      <c r="I44" s="140" t="s">
        <v>722</v>
      </c>
      <c r="J44" s="89" t="s">
        <v>723</v>
      </c>
      <c r="K44" s="140" t="s">
        <v>724</v>
      </c>
      <c r="L44" s="89" t="s">
        <v>725</v>
      </c>
      <c r="M44" s="89" t="s">
        <v>726</v>
      </c>
      <c r="N44" s="89" t="s">
        <v>727</v>
      </c>
      <c r="O44" s="89" t="s">
        <v>728</v>
      </c>
      <c r="P44" s="89" t="s">
        <v>729</v>
      </c>
      <c r="Q44" s="89" t="s">
        <v>925</v>
      </c>
      <c r="R44" s="89" t="s">
        <v>816</v>
      </c>
      <c r="S44" s="89" t="s">
        <v>924</v>
      </c>
      <c r="T44" s="89" t="s">
        <v>979</v>
      </c>
    </row>
    <row r="45" spans="1:20">
      <c r="A45" s="107" t="s">
        <v>314</v>
      </c>
      <c r="B45" s="96"/>
      <c r="C45" s="96"/>
      <c r="D45" s="96"/>
      <c r="E45" s="96"/>
      <c r="F45" s="96"/>
      <c r="G45" s="96"/>
      <c r="H45" s="209"/>
    </row>
    <row r="46" spans="1:20">
      <c r="A46" s="107" t="s">
        <v>315</v>
      </c>
      <c r="B46" s="210"/>
      <c r="C46" s="210"/>
      <c r="D46" s="210"/>
      <c r="E46" s="210"/>
      <c r="F46" s="198"/>
      <c r="G46" s="198"/>
      <c r="H46" s="198"/>
    </row>
    <row r="47" spans="1:20">
      <c r="A47" s="107" t="s">
        <v>316</v>
      </c>
      <c r="B47" s="457">
        <v>17123302</v>
      </c>
      <c r="C47" s="457">
        <v>17524936</v>
      </c>
      <c r="D47" s="457">
        <v>17600406</v>
      </c>
      <c r="E47" s="457">
        <v>21636317</v>
      </c>
      <c r="F47" s="457">
        <v>22298453</v>
      </c>
      <c r="G47" s="457">
        <v>23300643</v>
      </c>
      <c r="H47" s="457">
        <v>23575461</v>
      </c>
      <c r="I47" s="457">
        <v>25127639</v>
      </c>
      <c r="J47" s="457">
        <v>25446259</v>
      </c>
      <c r="K47" s="457">
        <v>24850942</v>
      </c>
      <c r="L47" s="457">
        <v>25738123</v>
      </c>
      <c r="M47" s="457">
        <v>24882817</v>
      </c>
      <c r="N47" s="457">
        <v>25066173</v>
      </c>
      <c r="O47" s="457">
        <v>26355189</v>
      </c>
      <c r="P47" s="457">
        <v>26988492</v>
      </c>
      <c r="Q47" s="457">
        <v>28079886</v>
      </c>
      <c r="R47" s="491">
        <v>28402897</v>
      </c>
      <c r="S47" s="558">
        <v>29238051</v>
      </c>
      <c r="T47" s="651">
        <v>29887481</v>
      </c>
    </row>
    <row r="48" spans="1:20">
      <c r="A48" s="107" t="s">
        <v>980</v>
      </c>
      <c r="B48" s="651">
        <v>0</v>
      </c>
      <c r="C48" s="651">
        <v>0</v>
      </c>
      <c r="D48" s="651">
        <v>0</v>
      </c>
      <c r="E48" s="651">
        <v>0</v>
      </c>
      <c r="F48" s="651">
        <v>0</v>
      </c>
      <c r="G48" s="651">
        <v>0</v>
      </c>
      <c r="H48" s="651">
        <v>0</v>
      </c>
      <c r="I48" s="651">
        <v>0</v>
      </c>
      <c r="J48" s="651">
        <v>0</v>
      </c>
      <c r="K48" s="651">
        <v>0</v>
      </c>
      <c r="L48" s="651">
        <v>0</v>
      </c>
      <c r="M48" s="651">
        <v>0</v>
      </c>
      <c r="N48" s="651">
        <v>0</v>
      </c>
      <c r="O48" s="651">
        <v>0</v>
      </c>
      <c r="P48" s="651">
        <v>0</v>
      </c>
      <c r="Q48" s="651">
        <v>0</v>
      </c>
      <c r="R48" s="651">
        <v>0</v>
      </c>
      <c r="S48" s="651">
        <v>0</v>
      </c>
      <c r="T48" s="651">
        <v>1330056</v>
      </c>
    </row>
    <row r="49" spans="1:79">
      <c r="A49" s="107" t="s">
        <v>730</v>
      </c>
      <c r="B49" s="716" t="s">
        <v>92</v>
      </c>
      <c r="C49" s="716" t="s">
        <v>59</v>
      </c>
      <c r="D49" s="716" t="s">
        <v>93</v>
      </c>
      <c r="E49" s="457">
        <v>247057</v>
      </c>
      <c r="F49" s="716" t="s">
        <v>94</v>
      </c>
      <c r="G49" s="457">
        <v>247057</v>
      </c>
      <c r="H49" s="716" t="s">
        <v>95</v>
      </c>
      <c r="I49" s="457">
        <v>247057</v>
      </c>
      <c r="J49" s="457">
        <v>247057</v>
      </c>
      <c r="K49" s="457">
        <v>195155</v>
      </c>
      <c r="L49" s="457">
        <v>195155</v>
      </c>
      <c r="M49" s="457">
        <v>92059</v>
      </c>
      <c r="N49" s="457">
        <v>40156</v>
      </c>
      <c r="O49" s="457">
        <v>40156</v>
      </c>
      <c r="P49" s="457">
        <v>40156</v>
      </c>
      <c r="Q49" s="457">
        <v>40156</v>
      </c>
      <c r="R49" s="491">
        <v>26183</v>
      </c>
      <c r="S49" s="558">
        <v>26183</v>
      </c>
      <c r="T49" s="651">
        <v>26183</v>
      </c>
    </row>
    <row r="50" spans="1:79">
      <c r="A50" s="107" t="s">
        <v>319</v>
      </c>
      <c r="B50" s="693"/>
      <c r="C50" s="693"/>
      <c r="D50" s="693"/>
      <c r="E50" s="457">
        <v>1152617</v>
      </c>
      <c r="F50" s="693"/>
      <c r="G50" s="457">
        <v>1182256</v>
      </c>
      <c r="H50" s="693"/>
      <c r="I50" s="457">
        <v>1160005</v>
      </c>
      <c r="J50" s="457">
        <v>1262910</v>
      </c>
      <c r="K50" s="457">
        <v>1604634</v>
      </c>
      <c r="L50" s="457">
        <v>1271029</v>
      </c>
      <c r="M50" s="457">
        <f>1693605-510840</f>
        <v>1182765</v>
      </c>
      <c r="N50" s="457">
        <v>1197136</v>
      </c>
      <c r="O50" s="457">
        <v>1224427</v>
      </c>
      <c r="P50" s="457">
        <v>1220949</v>
      </c>
      <c r="Q50" s="457">
        <v>1254077</v>
      </c>
      <c r="R50" s="491">
        <v>1255282</v>
      </c>
      <c r="S50" s="558">
        <v>1287703</v>
      </c>
      <c r="T50" s="651">
        <v>519810</v>
      </c>
    </row>
    <row r="51" spans="1:79" ht="26.25">
      <c r="A51" s="413" t="s">
        <v>318</v>
      </c>
      <c r="B51" s="457" t="s">
        <v>104</v>
      </c>
      <c r="C51" s="457" t="s">
        <v>104</v>
      </c>
      <c r="D51" s="457" t="s">
        <v>104</v>
      </c>
      <c r="E51" s="457" t="s">
        <v>104</v>
      </c>
      <c r="F51" s="457" t="s">
        <v>104</v>
      </c>
      <c r="G51" s="457" t="s">
        <v>104</v>
      </c>
      <c r="H51" s="457" t="s">
        <v>104</v>
      </c>
      <c r="I51" s="457" t="s">
        <v>104</v>
      </c>
      <c r="J51" s="457" t="s">
        <v>104</v>
      </c>
      <c r="K51" s="457" t="s">
        <v>104</v>
      </c>
      <c r="L51" s="457" t="s">
        <v>104</v>
      </c>
      <c r="M51" s="457">
        <v>510840</v>
      </c>
      <c r="N51" s="457">
        <v>94988</v>
      </c>
      <c r="O51" s="457">
        <v>126260</v>
      </c>
      <c r="P51" s="457">
        <v>24295</v>
      </c>
      <c r="Q51" s="457">
        <v>303130</v>
      </c>
      <c r="R51" s="491">
        <v>77570</v>
      </c>
      <c r="S51" s="558">
        <v>661603</v>
      </c>
      <c r="T51" s="651">
        <v>133412</v>
      </c>
    </row>
    <row r="52" spans="1:79">
      <c r="A52" s="107" t="s">
        <v>320</v>
      </c>
      <c r="B52" s="457">
        <v>0</v>
      </c>
      <c r="C52" s="457">
        <v>764</v>
      </c>
      <c r="D52" s="457">
        <v>13223</v>
      </c>
      <c r="E52" s="457">
        <v>22717</v>
      </c>
      <c r="F52" s="457">
        <v>22046</v>
      </c>
      <c r="G52" s="457">
        <v>51986</v>
      </c>
      <c r="H52" s="457">
        <v>48079</v>
      </c>
      <c r="I52" s="457">
        <v>44398</v>
      </c>
      <c r="J52" s="457">
        <v>41286</v>
      </c>
      <c r="K52" s="457">
        <v>414584</v>
      </c>
      <c r="L52" s="457">
        <v>417429</v>
      </c>
      <c r="M52" s="457">
        <v>418127</v>
      </c>
      <c r="N52" s="457">
        <v>462202</v>
      </c>
      <c r="O52" s="457">
        <v>461348</v>
      </c>
      <c r="P52" s="457">
        <v>475097</v>
      </c>
      <c r="Q52" s="457">
        <v>499204</v>
      </c>
      <c r="R52" s="491">
        <v>536412</v>
      </c>
      <c r="S52" s="558">
        <v>543913</v>
      </c>
      <c r="T52" s="651">
        <v>561896</v>
      </c>
    </row>
    <row r="53" spans="1:79">
      <c r="A53" s="107" t="s">
        <v>322</v>
      </c>
      <c r="B53" s="457">
        <v>208162</v>
      </c>
      <c r="C53" s="457">
        <v>177452</v>
      </c>
      <c r="D53" s="457">
        <v>185086</v>
      </c>
      <c r="E53" s="457">
        <v>193067</v>
      </c>
      <c r="F53" s="457">
        <v>271600</v>
      </c>
      <c r="G53" s="457">
        <v>305444</v>
      </c>
      <c r="H53" s="457">
        <v>377177</v>
      </c>
      <c r="I53" s="457">
        <v>587166</v>
      </c>
      <c r="J53" s="457">
        <v>358775</v>
      </c>
      <c r="K53" s="457">
        <v>377383</v>
      </c>
      <c r="L53" s="457">
        <v>401622</v>
      </c>
      <c r="M53" s="457">
        <v>433018</v>
      </c>
      <c r="N53" s="457">
        <v>463419</v>
      </c>
      <c r="O53" s="457">
        <v>468091</v>
      </c>
      <c r="P53" s="457">
        <v>456929</v>
      </c>
      <c r="Q53" s="457">
        <v>479121</v>
      </c>
      <c r="R53" s="491">
        <v>433249</v>
      </c>
      <c r="S53" s="558">
        <v>472079</v>
      </c>
      <c r="T53" s="651">
        <f>232960+233088</f>
        <v>466048</v>
      </c>
    </row>
    <row r="54" spans="1:79">
      <c r="A54" s="107" t="s">
        <v>323</v>
      </c>
      <c r="B54" s="457">
        <v>123597</v>
      </c>
      <c r="C54" s="457">
        <v>181832</v>
      </c>
      <c r="D54" s="457">
        <v>138413</v>
      </c>
      <c r="E54" s="457">
        <v>144923</v>
      </c>
      <c r="F54" s="457">
        <v>216155</v>
      </c>
      <c r="G54" s="457">
        <v>359709</v>
      </c>
      <c r="H54" s="457">
        <v>403902</v>
      </c>
      <c r="I54" s="457">
        <v>354704</v>
      </c>
      <c r="J54" s="457">
        <v>568819</v>
      </c>
      <c r="K54" s="457">
        <v>657943</v>
      </c>
      <c r="L54" s="457">
        <v>618471</v>
      </c>
      <c r="M54" s="457">
        <v>550375</v>
      </c>
      <c r="N54" s="457">
        <v>514318</v>
      </c>
      <c r="O54" s="457">
        <v>422400</v>
      </c>
      <c r="P54" s="457">
        <v>365153</v>
      </c>
      <c r="Q54" s="457">
        <v>346846</v>
      </c>
      <c r="R54" s="491">
        <v>303232</v>
      </c>
      <c r="S54" s="558">
        <v>282228</v>
      </c>
      <c r="T54" s="651">
        <v>148818</v>
      </c>
    </row>
    <row r="55" spans="1:79">
      <c r="A55" s="121" t="s">
        <v>578</v>
      </c>
      <c r="B55" s="211">
        <v>126835</v>
      </c>
      <c r="C55" s="211">
        <v>163063</v>
      </c>
      <c r="D55" s="211">
        <v>158197</v>
      </c>
      <c r="E55" s="211">
        <v>20079</v>
      </c>
      <c r="F55" s="211">
        <v>25684</v>
      </c>
      <c r="G55" s="211">
        <v>24135</v>
      </c>
      <c r="H55" s="211">
        <v>40791</v>
      </c>
      <c r="I55" s="211">
        <v>46039</v>
      </c>
      <c r="J55" s="211">
        <v>28908</v>
      </c>
      <c r="K55" s="211">
        <v>62108</v>
      </c>
      <c r="L55" s="211">
        <v>49650</v>
      </c>
      <c r="M55" s="211">
        <v>54184</v>
      </c>
      <c r="N55" s="211">
        <v>65730</v>
      </c>
      <c r="O55" s="211">
        <v>50382</v>
      </c>
      <c r="P55" s="211">
        <v>45442</v>
      </c>
      <c r="Q55" s="211">
        <v>46122</v>
      </c>
      <c r="R55" s="211">
        <v>39762</v>
      </c>
      <c r="S55" s="211">
        <v>30105</v>
      </c>
      <c r="T55" s="211">
        <v>30715</v>
      </c>
    </row>
    <row r="56" spans="1:79">
      <c r="A56" s="172"/>
      <c r="B56" s="199">
        <v>18242724</v>
      </c>
      <c r="C56" s="199">
        <v>18394387</v>
      </c>
      <c r="D56" s="199">
        <v>18961611</v>
      </c>
      <c r="E56" s="199">
        <v>23416777</v>
      </c>
      <c r="F56" s="199">
        <v>23849197</v>
      </c>
      <c r="G56" s="199">
        <v>25471230</v>
      </c>
      <c r="H56" s="199">
        <v>25933097</v>
      </c>
      <c r="I56" s="199">
        <v>27567008</v>
      </c>
      <c r="J56" s="199">
        <v>27954014</v>
      </c>
      <c r="K56" s="199">
        <v>28162749</v>
      </c>
      <c r="L56" s="199">
        <v>28691479</v>
      </c>
      <c r="M56" s="199">
        <v>28124185</v>
      </c>
      <c r="N56" s="199">
        <v>27904122</v>
      </c>
      <c r="O56" s="199">
        <v>29148253</v>
      </c>
      <c r="P56" s="199">
        <v>29616513</v>
      </c>
      <c r="Q56" s="199">
        <v>31048542</v>
      </c>
      <c r="R56" s="491">
        <v>31074587</v>
      </c>
      <c r="S56" s="558">
        <v>32541865</v>
      </c>
      <c r="T56" s="651">
        <v>33104419</v>
      </c>
    </row>
    <row r="57" spans="1:79">
      <c r="A57" s="109" t="s">
        <v>325</v>
      </c>
      <c r="B57" s="457"/>
      <c r="C57" s="199"/>
      <c r="D57" s="457"/>
      <c r="E57" s="457"/>
      <c r="F57" s="457"/>
      <c r="G57" s="457"/>
      <c r="H57" s="457"/>
      <c r="I57" s="457"/>
      <c r="J57" s="457"/>
      <c r="K57" s="192"/>
      <c r="L57" s="457"/>
      <c r="M57" s="457"/>
      <c r="N57" s="457"/>
      <c r="O57" s="192"/>
      <c r="S57" s="192"/>
    </row>
    <row r="58" spans="1:79" ht="26.25">
      <c r="A58" s="413" t="s">
        <v>318</v>
      </c>
      <c r="B58" s="456" t="s">
        <v>55</v>
      </c>
      <c r="C58" s="212">
        <v>624190</v>
      </c>
      <c r="D58" s="456" t="s">
        <v>55</v>
      </c>
      <c r="E58" s="213">
        <v>870954</v>
      </c>
      <c r="F58" s="457">
        <v>668742</v>
      </c>
      <c r="G58" s="457">
        <v>711099</v>
      </c>
      <c r="H58" s="457">
        <v>429828</v>
      </c>
      <c r="I58" s="457">
        <v>1156550</v>
      </c>
      <c r="J58" s="457">
        <v>504066</v>
      </c>
      <c r="K58" s="457">
        <v>733048</v>
      </c>
      <c r="L58" s="457">
        <v>646617</v>
      </c>
      <c r="M58" s="457">
        <v>805388</v>
      </c>
      <c r="N58" s="457">
        <v>648516</v>
      </c>
      <c r="O58" s="457">
        <v>980348</v>
      </c>
      <c r="P58" s="457">
        <v>462079</v>
      </c>
      <c r="Q58" s="457">
        <v>652260</v>
      </c>
      <c r="R58" s="491">
        <v>399894</v>
      </c>
      <c r="S58" s="558">
        <v>201663</v>
      </c>
      <c r="T58" s="651">
        <v>815925</v>
      </c>
    </row>
    <row r="59" spans="1:79">
      <c r="A59" s="109" t="s">
        <v>326</v>
      </c>
      <c r="B59" s="457">
        <v>439363</v>
      </c>
      <c r="C59" s="199">
        <v>408560</v>
      </c>
      <c r="D59" s="457">
        <v>388935</v>
      </c>
      <c r="E59" s="457">
        <v>574790</v>
      </c>
      <c r="F59" s="457">
        <v>532534</v>
      </c>
      <c r="G59" s="457">
        <v>708282</v>
      </c>
      <c r="H59" s="457">
        <v>464339</v>
      </c>
      <c r="I59" s="457">
        <v>509224</v>
      </c>
      <c r="J59" s="457">
        <v>474560</v>
      </c>
      <c r="K59" s="457">
        <v>527596</v>
      </c>
      <c r="L59" s="457">
        <v>404450</v>
      </c>
      <c r="M59" s="457">
        <v>433279</v>
      </c>
      <c r="N59" s="457">
        <v>404983</v>
      </c>
      <c r="O59" s="457">
        <v>486120</v>
      </c>
      <c r="P59" s="457">
        <v>356911</v>
      </c>
      <c r="Q59" s="457">
        <v>295463</v>
      </c>
      <c r="R59" s="491">
        <v>364456</v>
      </c>
      <c r="S59" s="558">
        <v>509801</v>
      </c>
      <c r="T59" s="651">
        <v>560026</v>
      </c>
      <c r="BL59" s="200"/>
    </row>
    <row r="60" spans="1:79" s="256" customFormat="1">
      <c r="A60" s="109" t="s">
        <v>328</v>
      </c>
      <c r="B60" s="717" t="s">
        <v>731</v>
      </c>
      <c r="C60" s="718"/>
      <c r="D60" s="718"/>
      <c r="E60" s="718"/>
      <c r="F60" s="718"/>
      <c r="G60" s="718"/>
      <c r="H60" s="718"/>
      <c r="I60" s="718"/>
      <c r="J60" s="718"/>
      <c r="K60" s="718"/>
      <c r="L60" s="718"/>
      <c r="M60" s="457">
        <v>228345</v>
      </c>
      <c r="N60" s="457">
        <v>115174</v>
      </c>
      <c r="O60" s="457">
        <v>263854</v>
      </c>
      <c r="P60" s="457">
        <v>195142</v>
      </c>
      <c r="Q60" s="457">
        <v>241998</v>
      </c>
      <c r="R60" s="491">
        <v>223718</v>
      </c>
      <c r="S60" s="558">
        <v>209746</v>
      </c>
      <c r="T60" s="651">
        <v>135414</v>
      </c>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200"/>
      <c r="BW60" s="200"/>
      <c r="BX60" s="200"/>
      <c r="BY60" s="200"/>
      <c r="BZ60" s="200"/>
      <c r="CA60" s="200"/>
    </row>
    <row r="61" spans="1:79" s="257" customFormat="1">
      <c r="A61" s="109" t="s">
        <v>581</v>
      </c>
      <c r="B61" s="457">
        <v>43485</v>
      </c>
      <c r="C61" s="199">
        <v>74749</v>
      </c>
      <c r="D61" s="457">
        <v>14991</v>
      </c>
      <c r="E61" s="457">
        <v>64266</v>
      </c>
      <c r="F61" s="457">
        <v>78389</v>
      </c>
      <c r="G61" s="457">
        <v>1434</v>
      </c>
      <c r="H61" s="457">
        <v>23188</v>
      </c>
      <c r="I61" s="457">
        <v>31890</v>
      </c>
      <c r="J61" s="457">
        <v>92261</v>
      </c>
      <c r="K61" s="457">
        <v>26489</v>
      </c>
      <c r="L61" s="457">
        <v>53805</v>
      </c>
      <c r="M61" s="742" t="s">
        <v>732</v>
      </c>
      <c r="N61" s="675"/>
      <c r="O61" s="675"/>
      <c r="P61" s="675"/>
      <c r="Q61" s="558">
        <v>2128</v>
      </c>
      <c r="R61" s="554"/>
      <c r="S61" s="558">
        <v>14497</v>
      </c>
      <c r="T61" s="651">
        <v>72433</v>
      </c>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200"/>
      <c r="BW61" s="200"/>
      <c r="BX61" s="200"/>
      <c r="BY61" s="200"/>
      <c r="BZ61" s="200"/>
      <c r="CA61" s="200"/>
    </row>
    <row r="62" spans="1:79" s="257" customFormat="1">
      <c r="A62" s="109" t="s">
        <v>583</v>
      </c>
      <c r="B62" s="457">
        <v>2008653</v>
      </c>
      <c r="C62" s="199">
        <v>2273145</v>
      </c>
      <c r="D62" s="457">
        <v>2422059</v>
      </c>
      <c r="E62" s="457">
        <v>2743344</v>
      </c>
      <c r="F62" s="457">
        <v>2815297</v>
      </c>
      <c r="G62" s="457">
        <v>3036695</v>
      </c>
      <c r="H62" s="457">
        <v>2585447</v>
      </c>
      <c r="I62" s="457">
        <v>2134641</v>
      </c>
      <c r="J62" s="457">
        <v>1933061</v>
      </c>
      <c r="K62" s="457">
        <v>1969169</v>
      </c>
      <c r="L62" s="457">
        <v>1879766</v>
      </c>
      <c r="M62" s="675"/>
      <c r="N62" s="675"/>
      <c r="O62" s="675"/>
      <c r="P62" s="675"/>
      <c r="Q62" s="681" t="s">
        <v>732</v>
      </c>
      <c r="R62" s="736"/>
      <c r="S62" s="736"/>
      <c r="T62" s="736"/>
      <c r="U62" s="736"/>
      <c r="V62" s="736"/>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200"/>
      <c r="BW62" s="200"/>
      <c r="BX62" s="200"/>
      <c r="BY62" s="200"/>
      <c r="BZ62" s="200"/>
      <c r="CA62" s="200"/>
    </row>
    <row r="63" spans="1:79" s="256" customFormat="1" ht="14.45" customHeight="1">
      <c r="A63" s="109" t="s">
        <v>327</v>
      </c>
      <c r="B63" s="717" t="s">
        <v>731</v>
      </c>
      <c r="C63" s="718"/>
      <c r="D63" s="718"/>
      <c r="E63" s="718"/>
      <c r="F63" s="718"/>
      <c r="G63" s="718"/>
      <c r="H63" s="718"/>
      <c r="I63" s="718"/>
      <c r="J63" s="718"/>
      <c r="K63" s="718"/>
      <c r="L63" s="718"/>
      <c r="M63" s="457">
        <v>1830033</v>
      </c>
      <c r="N63" s="457">
        <v>1695043</v>
      </c>
      <c r="O63" s="457">
        <v>1894065</v>
      </c>
      <c r="P63" s="457">
        <v>1742649</v>
      </c>
      <c r="Q63" s="457">
        <v>2032813</v>
      </c>
      <c r="R63" s="491">
        <v>1847250</v>
      </c>
      <c r="S63" s="558">
        <v>2229363</v>
      </c>
      <c r="T63" s="651">
        <v>2196958</v>
      </c>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200"/>
      <c r="BW63" s="200"/>
      <c r="BX63" s="200"/>
      <c r="BY63" s="200"/>
      <c r="BZ63" s="200"/>
      <c r="CA63" s="200"/>
    </row>
    <row r="64" spans="1:79" s="257" customFormat="1">
      <c r="A64" s="109" t="s">
        <v>322</v>
      </c>
      <c r="B64" s="457">
        <v>42320</v>
      </c>
      <c r="C64" s="199">
        <v>28193</v>
      </c>
      <c r="D64" s="457">
        <v>9745</v>
      </c>
      <c r="E64" s="457">
        <v>108024</v>
      </c>
      <c r="F64" s="457">
        <v>9070</v>
      </c>
      <c r="G64" s="457">
        <v>5422</v>
      </c>
      <c r="H64" s="457">
        <v>11180</v>
      </c>
      <c r="I64" s="457">
        <v>15878</v>
      </c>
      <c r="J64" s="457">
        <v>16510</v>
      </c>
      <c r="K64" s="457">
        <v>27539</v>
      </c>
      <c r="L64" s="457">
        <v>6359</v>
      </c>
      <c r="M64" s="457">
        <v>34334</v>
      </c>
      <c r="N64" s="457">
        <v>253372</v>
      </c>
      <c r="O64" s="457">
        <v>94753</v>
      </c>
      <c r="P64" s="457">
        <v>475330</v>
      </c>
      <c r="Q64" s="457">
        <v>549598</v>
      </c>
      <c r="R64" s="491">
        <v>491441</v>
      </c>
      <c r="S64" s="558">
        <v>443038</v>
      </c>
      <c r="T64" s="651">
        <f>1202808+8</f>
        <v>1202816</v>
      </c>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200"/>
      <c r="BW64" s="200"/>
      <c r="BX64" s="200"/>
      <c r="BY64" s="200"/>
      <c r="BZ64" s="200"/>
      <c r="CA64" s="200"/>
    </row>
    <row r="65" spans="1:79" s="257" customFormat="1">
      <c r="A65" s="263" t="s">
        <v>323</v>
      </c>
      <c r="B65" s="457">
        <v>185158</v>
      </c>
      <c r="C65" s="199">
        <v>145361</v>
      </c>
      <c r="D65" s="457">
        <v>226633</v>
      </c>
      <c r="E65" s="457">
        <v>234220</v>
      </c>
      <c r="F65" s="457">
        <v>296724</v>
      </c>
      <c r="G65" s="457">
        <v>272371</v>
      </c>
      <c r="H65" s="457">
        <v>294057</v>
      </c>
      <c r="I65" s="457">
        <v>270429</v>
      </c>
      <c r="J65" s="457">
        <v>342953</v>
      </c>
      <c r="K65" s="457">
        <v>353989</v>
      </c>
      <c r="L65" s="457">
        <v>380516</v>
      </c>
      <c r="M65" s="457">
        <v>233059</v>
      </c>
      <c r="N65" s="457">
        <v>205206</v>
      </c>
      <c r="O65" s="457">
        <v>185008</v>
      </c>
      <c r="P65" s="457">
        <v>147523</v>
      </c>
      <c r="Q65" s="457">
        <v>87055</v>
      </c>
      <c r="R65" s="491">
        <v>146896</v>
      </c>
      <c r="S65" s="558">
        <v>110068</v>
      </c>
      <c r="T65" s="651">
        <v>113967</v>
      </c>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200"/>
      <c r="BW65" s="200"/>
      <c r="BX65" s="200"/>
      <c r="BY65" s="200"/>
      <c r="BZ65" s="200"/>
      <c r="CA65" s="200"/>
    </row>
    <row r="66" spans="1:79">
      <c r="A66" s="109" t="s">
        <v>329</v>
      </c>
      <c r="B66" s="199">
        <v>1049221</v>
      </c>
      <c r="C66" s="199">
        <v>1473981</v>
      </c>
      <c r="D66" s="199">
        <v>1376104</v>
      </c>
      <c r="E66" s="199">
        <v>505670</v>
      </c>
      <c r="F66" s="199">
        <v>705020</v>
      </c>
      <c r="G66" s="199">
        <v>1030929</v>
      </c>
      <c r="H66" s="199">
        <v>912712</v>
      </c>
      <c r="I66" s="199">
        <v>636909</v>
      </c>
      <c r="J66" s="199">
        <v>246144</v>
      </c>
      <c r="K66" s="199">
        <v>1420909</v>
      </c>
      <c r="L66" s="457">
        <v>915135</v>
      </c>
      <c r="M66" s="457">
        <v>364912</v>
      </c>
      <c r="N66" s="457">
        <v>422123</v>
      </c>
      <c r="O66" s="457">
        <v>384881</v>
      </c>
      <c r="P66" s="457">
        <v>210379</v>
      </c>
      <c r="Q66" s="457">
        <v>909249</v>
      </c>
      <c r="R66" s="491">
        <v>491378</v>
      </c>
      <c r="S66" s="558">
        <v>823724</v>
      </c>
      <c r="T66" s="651">
        <v>960470</v>
      </c>
    </row>
    <row r="67" spans="1:79" ht="26.25">
      <c r="A67" s="475" t="s">
        <v>584</v>
      </c>
      <c r="B67" s="211">
        <v>5778</v>
      </c>
      <c r="C67" s="211">
        <v>4397</v>
      </c>
      <c r="D67" s="211">
        <v>4397</v>
      </c>
      <c r="E67" s="211">
        <v>8951</v>
      </c>
      <c r="F67" s="211">
        <v>13133</v>
      </c>
      <c r="G67" s="211">
        <v>36215</v>
      </c>
      <c r="H67" s="211">
        <v>35833</v>
      </c>
      <c r="I67" s="211">
        <v>33041</v>
      </c>
      <c r="J67" s="211">
        <v>13668</v>
      </c>
      <c r="K67" s="211">
        <v>1337705</v>
      </c>
      <c r="L67" s="211">
        <v>1343947</v>
      </c>
      <c r="M67" s="199">
        <v>17898</v>
      </c>
      <c r="N67" s="199">
        <v>13283</v>
      </c>
      <c r="O67" s="199">
        <v>19612</v>
      </c>
      <c r="P67" s="199">
        <v>19368</v>
      </c>
      <c r="Q67" s="199">
        <v>15910</v>
      </c>
      <c r="R67" s="199">
        <v>13062</v>
      </c>
      <c r="S67" s="199">
        <v>13712</v>
      </c>
      <c r="T67" s="199">
        <v>21071</v>
      </c>
    </row>
    <row r="68" spans="1:79">
      <c r="A68" s="107"/>
      <c r="B68" s="457">
        <f>3768200+B67</f>
        <v>3773978</v>
      </c>
      <c r="C68" s="457">
        <f>5028179+C67</f>
        <v>5032576</v>
      </c>
      <c r="D68" s="457">
        <f>4438467+D67</f>
        <v>4442864</v>
      </c>
      <c r="E68" s="457">
        <f>5101268+E67</f>
        <v>5110219</v>
      </c>
      <c r="F68" s="457">
        <f>5105776+F67</f>
        <v>5118909</v>
      </c>
      <c r="G68" s="457">
        <f>5766232+G67</f>
        <v>5802447</v>
      </c>
      <c r="H68" s="457">
        <f>4720751+H67</f>
        <v>4756584</v>
      </c>
      <c r="I68" s="457">
        <f>4755521+I67</f>
        <v>4788562</v>
      </c>
      <c r="J68" s="457">
        <f>3609555+J67</f>
        <v>3623223</v>
      </c>
      <c r="K68" s="457">
        <v>6396444</v>
      </c>
      <c r="L68" s="457">
        <v>5630595</v>
      </c>
      <c r="M68" s="214">
        <v>3947248</v>
      </c>
      <c r="N68" s="214">
        <v>3757700</v>
      </c>
      <c r="O68" s="214">
        <v>4308641</v>
      </c>
      <c r="P68" s="214">
        <v>3609381</v>
      </c>
      <c r="Q68" s="214">
        <v>4786474</v>
      </c>
      <c r="R68" s="214">
        <v>3978095</v>
      </c>
      <c r="S68" s="214">
        <v>4555612</v>
      </c>
      <c r="T68" s="214">
        <v>6079080</v>
      </c>
    </row>
    <row r="69" spans="1:79">
      <c r="A69" s="107"/>
      <c r="B69" s="96"/>
      <c r="C69" s="111"/>
      <c r="D69" s="96"/>
      <c r="E69" s="96"/>
      <c r="F69" s="96"/>
      <c r="G69" s="96"/>
      <c r="H69" s="457"/>
      <c r="I69" s="96"/>
      <c r="J69" s="96"/>
      <c r="K69" s="96"/>
      <c r="L69" s="457"/>
      <c r="M69" s="457"/>
      <c r="N69" s="457"/>
      <c r="O69" s="192"/>
      <c r="P69" s="192"/>
      <c r="Q69" s="192"/>
    </row>
    <row r="70" spans="1:79">
      <c r="A70" s="90" t="s">
        <v>331</v>
      </c>
      <c r="B70" s="205">
        <v>22016702</v>
      </c>
      <c r="C70" s="205">
        <v>23426963</v>
      </c>
      <c r="D70" s="205">
        <v>23404475</v>
      </c>
      <c r="E70" s="205">
        <v>28526996</v>
      </c>
      <c r="F70" s="205">
        <v>28968106</v>
      </c>
      <c r="G70" s="205">
        <v>31273677</v>
      </c>
      <c r="H70" s="205">
        <v>30689681</v>
      </c>
      <c r="I70" s="205">
        <v>32355570</v>
      </c>
      <c r="J70" s="205">
        <v>31577237</v>
      </c>
      <c r="K70" s="205">
        <v>34559193</v>
      </c>
      <c r="L70" s="205">
        <v>34322074</v>
      </c>
      <c r="M70" s="205">
        <v>32071433</v>
      </c>
      <c r="N70" s="205">
        <v>31661822</v>
      </c>
      <c r="O70" s="205">
        <v>33456894</v>
      </c>
      <c r="P70" s="205">
        <v>33225894</v>
      </c>
      <c r="Q70" s="205">
        <v>35835016</v>
      </c>
      <c r="R70" s="205">
        <v>35052682</v>
      </c>
      <c r="S70" s="205">
        <v>37097477</v>
      </c>
      <c r="T70" s="205">
        <v>39183499</v>
      </c>
    </row>
    <row r="71" spans="1:79">
      <c r="A71" s="107"/>
      <c r="B71" s="96"/>
      <c r="C71" s="96"/>
      <c r="D71" s="96"/>
      <c r="E71" s="96"/>
      <c r="F71" s="96"/>
      <c r="G71" s="96"/>
      <c r="H71" s="205"/>
      <c r="I71" s="205"/>
      <c r="J71" s="205"/>
      <c r="K71" s="205"/>
      <c r="L71" s="205"/>
      <c r="M71" s="205"/>
      <c r="N71" s="205"/>
      <c r="O71" s="272"/>
      <c r="P71" s="272"/>
      <c r="Q71" s="272"/>
      <c r="R71" s="272"/>
      <c r="S71" s="272"/>
      <c r="T71" s="272"/>
    </row>
    <row r="72" spans="1:79">
      <c r="A72" s="156" t="s">
        <v>332</v>
      </c>
      <c r="B72" s="108"/>
      <c r="C72" s="108"/>
      <c r="D72" s="108"/>
      <c r="E72" s="108"/>
      <c r="F72" s="108"/>
      <c r="G72" s="108"/>
      <c r="H72" s="457"/>
      <c r="J72" s="192"/>
      <c r="K72" s="192"/>
      <c r="L72" s="192"/>
      <c r="M72" s="192"/>
      <c r="N72" s="192"/>
      <c r="O72" s="192"/>
    </row>
    <row r="73" spans="1:79" ht="26.25">
      <c r="A73" s="417" t="s">
        <v>585</v>
      </c>
      <c r="B73" s="210"/>
      <c r="C73" s="215"/>
      <c r="D73" s="210"/>
      <c r="E73" s="210"/>
      <c r="F73" s="198"/>
      <c r="G73" s="198"/>
      <c r="H73" s="198"/>
      <c r="J73" s="192"/>
      <c r="K73" s="192"/>
      <c r="L73" s="192"/>
      <c r="M73" s="192"/>
      <c r="N73" s="192"/>
      <c r="O73" s="192"/>
    </row>
    <row r="74" spans="1:79">
      <c r="A74" s="109" t="s">
        <v>334</v>
      </c>
      <c r="B74" s="457">
        <v>14304949</v>
      </c>
      <c r="C74" s="199">
        <v>15772945</v>
      </c>
      <c r="D74" s="457">
        <v>8762747</v>
      </c>
      <c r="E74" s="457">
        <v>8762747</v>
      </c>
      <c r="F74" s="457">
        <v>8762747</v>
      </c>
      <c r="G74" s="457">
        <v>8762747</v>
      </c>
      <c r="H74" s="457">
        <v>8762747</v>
      </c>
      <c r="I74" s="457">
        <v>8762747</v>
      </c>
      <c r="J74" s="457">
        <v>8762747</v>
      </c>
      <c r="K74" s="457">
        <v>8762747</v>
      </c>
      <c r="L74" s="457">
        <v>8762747</v>
      </c>
      <c r="M74" s="457">
        <v>8762747</v>
      </c>
      <c r="N74" s="457">
        <v>8762747</v>
      </c>
      <c r="O74" s="457">
        <v>8762747</v>
      </c>
      <c r="P74" s="457">
        <v>8762747</v>
      </c>
      <c r="Q74" s="457">
        <v>8762747</v>
      </c>
      <c r="R74" s="491">
        <v>8762747</v>
      </c>
      <c r="S74" s="558">
        <v>8762747</v>
      </c>
      <c r="T74" s="651">
        <v>8762747</v>
      </c>
    </row>
    <row r="75" spans="1:79">
      <c r="A75" s="109" t="s">
        <v>335</v>
      </c>
      <c r="B75" s="457">
        <v>240209</v>
      </c>
      <c r="C75" s="199">
        <v>475088</v>
      </c>
      <c r="D75" s="457">
        <v>7412882</v>
      </c>
      <c r="E75" s="457">
        <v>7412882</v>
      </c>
      <c r="F75" s="457">
        <v>7953021</v>
      </c>
      <c r="G75" s="457">
        <v>7953021</v>
      </c>
      <c r="H75" s="457">
        <v>9037699</v>
      </c>
      <c r="I75" s="457">
        <v>9037699</v>
      </c>
      <c r="J75" s="457">
        <v>10393686</v>
      </c>
      <c r="K75" s="457">
        <v>10393686</v>
      </c>
      <c r="L75" s="457">
        <v>11277247</v>
      </c>
      <c r="M75" s="457">
        <v>11277247</v>
      </c>
      <c r="N75" s="457">
        <v>7823339</v>
      </c>
      <c r="O75" s="457">
        <v>7823339</v>
      </c>
      <c r="P75" s="457">
        <v>7657086</v>
      </c>
      <c r="Q75" s="457">
        <v>7657086</v>
      </c>
      <c r="R75" s="491">
        <v>8511437</v>
      </c>
      <c r="S75" s="558">
        <v>8511437</v>
      </c>
      <c r="T75" s="651">
        <v>6801584</v>
      </c>
    </row>
    <row r="76" spans="1:79" ht="26.25">
      <c r="A76" s="417" t="s">
        <v>336</v>
      </c>
      <c r="B76" s="457">
        <v>-6195</v>
      </c>
      <c r="C76" s="199">
        <v>0</v>
      </c>
      <c r="D76" s="457">
        <v>0</v>
      </c>
      <c r="E76" s="457">
        <v>0</v>
      </c>
      <c r="F76" s="457">
        <v>-32514</v>
      </c>
      <c r="G76" s="457">
        <v>-153703</v>
      </c>
      <c r="H76" s="457">
        <v>-123859</v>
      </c>
      <c r="I76" s="457">
        <v>-126651</v>
      </c>
      <c r="J76" s="457">
        <v>-144845</v>
      </c>
      <c r="K76" s="457">
        <v>-143019</v>
      </c>
      <c r="L76" s="457">
        <v>-103630</v>
      </c>
      <c r="M76" s="457">
        <v>-73414</v>
      </c>
      <c r="N76" s="457">
        <v>-33849</v>
      </c>
      <c r="O76" s="457">
        <v>29660</v>
      </c>
      <c r="P76" s="457">
        <v>22915</v>
      </c>
      <c r="Q76" s="457">
        <v>23051</v>
      </c>
      <c r="R76" s="491">
        <v>12372</v>
      </c>
      <c r="S76" s="558">
        <v>3371</v>
      </c>
      <c r="T76" s="651">
        <v>647</v>
      </c>
    </row>
    <row r="77" spans="1:79" ht="26.25">
      <c r="A77" s="417" t="s">
        <v>586</v>
      </c>
      <c r="B77" s="457">
        <v>0</v>
      </c>
      <c r="C77" s="199">
        <v>0</v>
      </c>
      <c r="D77" s="457">
        <v>0</v>
      </c>
      <c r="E77" s="457">
        <v>0</v>
      </c>
      <c r="F77" s="457">
        <v>9226</v>
      </c>
      <c r="G77" s="457">
        <v>0</v>
      </c>
      <c r="H77" s="457">
        <v>0</v>
      </c>
      <c r="I77" s="457">
        <v>0</v>
      </c>
      <c r="J77" s="457">
        <v>0</v>
      </c>
      <c r="K77" s="457">
        <v>0</v>
      </c>
      <c r="L77" s="457">
        <v>0</v>
      </c>
      <c r="M77" s="457">
        <v>0</v>
      </c>
      <c r="N77" s="457">
        <v>0</v>
      </c>
      <c r="O77" s="457">
        <v>0</v>
      </c>
      <c r="P77" s="457">
        <v>0</v>
      </c>
      <c r="Q77" s="457">
        <v>0</v>
      </c>
      <c r="R77" s="491">
        <v>0</v>
      </c>
      <c r="S77" s="558">
        <v>0</v>
      </c>
      <c r="T77" s="651">
        <v>0</v>
      </c>
    </row>
    <row r="78" spans="1:79" ht="26.25">
      <c r="A78" s="417" t="s">
        <v>304</v>
      </c>
      <c r="B78" s="457">
        <v>0</v>
      </c>
      <c r="C78" s="199">
        <v>-271</v>
      </c>
      <c r="D78" s="457">
        <v>-120</v>
      </c>
      <c r="E78" s="457">
        <v>87</v>
      </c>
      <c r="F78" s="457">
        <v>-164</v>
      </c>
      <c r="G78" s="457">
        <v>-370</v>
      </c>
      <c r="H78" s="457">
        <v>-11</v>
      </c>
      <c r="I78" s="457">
        <v>-1631</v>
      </c>
      <c r="J78" s="457">
        <v>-1590</v>
      </c>
      <c r="K78" s="457">
        <v>-1386</v>
      </c>
      <c r="L78" s="457">
        <v>-1358</v>
      </c>
      <c r="M78" s="457">
        <v>-791</v>
      </c>
      <c r="N78" s="457">
        <v>9131</v>
      </c>
      <c r="O78" s="457">
        <v>9200</v>
      </c>
      <c r="P78" s="457">
        <v>11345</v>
      </c>
      <c r="Q78" s="457">
        <v>6776</v>
      </c>
      <c r="R78" s="491">
        <v>15647</v>
      </c>
      <c r="S78" s="558">
        <v>14016</v>
      </c>
      <c r="T78" s="651">
        <v>13801</v>
      </c>
    </row>
    <row r="79" spans="1:79">
      <c r="A79" s="113" t="s">
        <v>587</v>
      </c>
      <c r="B79" s="211">
        <v>-2031013</v>
      </c>
      <c r="C79" s="211">
        <v>-1641605</v>
      </c>
      <c r="D79" s="211">
        <v>-1018094</v>
      </c>
      <c r="E79" s="211">
        <v>-481414</v>
      </c>
      <c r="F79" s="211">
        <v>-728008</v>
      </c>
      <c r="G79" s="211">
        <v>-255014</v>
      </c>
      <c r="H79" s="211">
        <v>-909855</v>
      </c>
      <c r="I79" s="211">
        <v>-344999</v>
      </c>
      <c r="J79" s="211">
        <v>-1216944</v>
      </c>
      <c r="K79" s="211">
        <v>-1045580</v>
      </c>
      <c r="L79" s="211">
        <v>-1472252</v>
      </c>
      <c r="M79" s="199">
        <v>-3947461</v>
      </c>
      <c r="N79" s="199">
        <v>-505261</v>
      </c>
      <c r="O79" s="199">
        <v>24320</v>
      </c>
      <c r="P79" s="199">
        <v>1390734</v>
      </c>
      <c r="Q79" s="199">
        <v>1586786</v>
      </c>
      <c r="R79" s="199">
        <v>1383852</v>
      </c>
      <c r="S79" s="199">
        <v>1004253</v>
      </c>
      <c r="T79" s="199">
        <v>3391350</v>
      </c>
    </row>
    <row r="80" spans="1:79">
      <c r="A80" s="107"/>
      <c r="B80" s="457">
        <v>12507950</v>
      </c>
      <c r="C80" s="457">
        <v>14606157</v>
      </c>
      <c r="D80" s="457">
        <v>15157415</v>
      </c>
      <c r="E80" s="457">
        <v>15694302</v>
      </c>
      <c r="F80" s="457">
        <v>15964308</v>
      </c>
      <c r="G80" s="457">
        <v>16306681</v>
      </c>
      <c r="H80" s="457">
        <v>16766721</v>
      </c>
      <c r="I80" s="457">
        <v>17327165</v>
      </c>
      <c r="J80" s="457">
        <v>17793054</v>
      </c>
      <c r="K80" s="457">
        <v>17966448</v>
      </c>
      <c r="L80" s="457">
        <v>18462754</v>
      </c>
      <c r="M80" s="214">
        <v>16018328</v>
      </c>
      <c r="N80" s="214">
        <v>16056107</v>
      </c>
      <c r="O80" s="214">
        <v>16649266</v>
      </c>
      <c r="P80" s="214">
        <v>17844827</v>
      </c>
      <c r="Q80" s="214">
        <v>18036446</v>
      </c>
      <c r="R80" s="214">
        <v>18686055</v>
      </c>
      <c r="S80" s="214">
        <v>18295824</v>
      </c>
      <c r="T80" s="214">
        <v>18970129</v>
      </c>
    </row>
    <row r="81" spans="1:21">
      <c r="A81" s="107"/>
      <c r="B81" s="96"/>
      <c r="C81" s="96"/>
      <c r="D81" s="96"/>
      <c r="E81" s="96"/>
      <c r="F81" s="96"/>
      <c r="G81" s="457"/>
      <c r="H81" s="457"/>
      <c r="I81" s="457"/>
      <c r="J81" s="457"/>
      <c r="K81" s="457"/>
      <c r="L81" s="457"/>
      <c r="M81" s="457"/>
      <c r="N81" s="457"/>
      <c r="O81" s="192"/>
      <c r="P81" s="192"/>
      <c r="Q81" s="192"/>
      <c r="S81" s="558"/>
      <c r="T81" s="651"/>
    </row>
    <row r="82" spans="1:21">
      <c r="A82" s="107" t="s">
        <v>338</v>
      </c>
      <c r="B82" s="457">
        <v>2289945</v>
      </c>
      <c r="C82" s="457">
        <v>496279</v>
      </c>
      <c r="D82" s="457">
        <v>479419</v>
      </c>
      <c r="E82" s="457">
        <v>455203</v>
      </c>
      <c r="F82" s="457">
        <v>474902</v>
      </c>
      <c r="G82" s="457">
        <v>493339</v>
      </c>
      <c r="H82" s="457">
        <v>526444</v>
      </c>
      <c r="I82" s="457">
        <v>466334</v>
      </c>
      <c r="J82" s="457">
        <v>29574</v>
      </c>
      <c r="K82" s="457">
        <v>30116</v>
      </c>
      <c r="L82" s="457">
        <v>29040</v>
      </c>
      <c r="M82" s="457">
        <v>29829</v>
      </c>
      <c r="N82" s="457">
        <v>28016</v>
      </c>
      <c r="O82" s="192">
        <v>30052</v>
      </c>
      <c r="P82" s="192">
        <v>31315</v>
      </c>
      <c r="Q82" s="192">
        <v>31367</v>
      </c>
      <c r="R82" s="192">
        <v>33180</v>
      </c>
      <c r="S82" s="192">
        <v>132657</v>
      </c>
      <c r="T82" s="192">
        <v>386282</v>
      </c>
    </row>
    <row r="83" spans="1:21">
      <c r="A83" s="107"/>
      <c r="B83" s="457"/>
      <c r="C83" s="457"/>
      <c r="D83" s="457"/>
      <c r="E83" s="457"/>
      <c r="F83" s="457"/>
      <c r="G83" s="457"/>
      <c r="H83" s="457"/>
      <c r="I83" s="457"/>
      <c r="J83" s="457"/>
      <c r="K83" s="457"/>
      <c r="L83" s="457"/>
      <c r="M83" s="457"/>
      <c r="N83" s="457"/>
      <c r="O83" s="192"/>
      <c r="P83" s="192"/>
      <c r="Q83" s="192"/>
    </row>
    <row r="84" spans="1:21">
      <c r="A84" s="118" t="s">
        <v>339</v>
      </c>
      <c r="B84" s="205">
        <v>14797895</v>
      </c>
      <c r="C84" s="205">
        <v>15102436</v>
      </c>
      <c r="D84" s="205">
        <v>15636834</v>
      </c>
      <c r="E84" s="205">
        <v>16149505</v>
      </c>
      <c r="F84" s="205">
        <v>16439210</v>
      </c>
      <c r="G84" s="205">
        <v>16800020</v>
      </c>
      <c r="H84" s="205">
        <v>17293165</v>
      </c>
      <c r="I84" s="205">
        <v>17793499</v>
      </c>
      <c r="J84" s="205">
        <v>17822628</v>
      </c>
      <c r="K84" s="205">
        <v>17996564</v>
      </c>
      <c r="L84" s="205">
        <v>18491794</v>
      </c>
      <c r="M84" s="205">
        <v>16048157</v>
      </c>
      <c r="N84" s="205">
        <v>16084123</v>
      </c>
      <c r="O84" s="205">
        <v>16679318</v>
      </c>
      <c r="P84" s="205">
        <v>17876142</v>
      </c>
      <c r="Q84" s="205">
        <v>18067813</v>
      </c>
      <c r="R84" s="205">
        <v>18719235</v>
      </c>
      <c r="S84" s="205">
        <v>18428481</v>
      </c>
      <c r="T84" s="205">
        <v>19356411</v>
      </c>
    </row>
    <row r="85" spans="1:21">
      <c r="A85" s="107"/>
      <c r="B85" s="150"/>
      <c r="C85" s="150"/>
      <c r="D85" s="150"/>
      <c r="E85" s="150"/>
      <c r="F85" s="150"/>
      <c r="G85" s="150"/>
      <c r="H85" s="205"/>
      <c r="I85" s="205"/>
      <c r="J85" s="205"/>
      <c r="K85" s="205"/>
      <c r="L85" s="205"/>
      <c r="M85" s="205"/>
      <c r="N85" s="205"/>
      <c r="O85" s="205"/>
      <c r="P85" s="205"/>
      <c r="Q85" s="205"/>
      <c r="R85" s="205"/>
      <c r="S85" s="205"/>
      <c r="T85" s="205"/>
    </row>
    <row r="86" spans="1:21">
      <c r="A86" s="156" t="s">
        <v>340</v>
      </c>
      <c r="B86" s="210"/>
      <c r="C86" s="215"/>
      <c r="D86" s="210"/>
      <c r="E86" s="210"/>
      <c r="F86" s="198"/>
      <c r="G86" s="198"/>
      <c r="H86" s="198"/>
      <c r="I86" s="198"/>
      <c r="J86" s="192"/>
      <c r="K86" s="192"/>
      <c r="L86" s="192"/>
      <c r="M86" s="192"/>
      <c r="N86" s="192"/>
      <c r="O86" s="192"/>
      <c r="P86" s="192"/>
      <c r="S86" s="192"/>
    </row>
    <row r="87" spans="1:21" ht="15.75">
      <c r="A87" s="109" t="s">
        <v>588</v>
      </c>
      <c r="B87" s="457">
        <v>989098</v>
      </c>
      <c r="C87" s="199">
        <v>1076178</v>
      </c>
      <c r="D87" s="457">
        <v>1045564</v>
      </c>
      <c r="E87" s="457">
        <v>4251944</v>
      </c>
      <c r="F87" s="457">
        <v>4883367</v>
      </c>
      <c r="G87" s="457">
        <v>5222882</v>
      </c>
      <c r="H87" s="457">
        <v>5606826</v>
      </c>
      <c r="I87" s="457">
        <v>5500532</v>
      </c>
      <c r="J87" s="457">
        <v>6005603</v>
      </c>
      <c r="K87" s="457">
        <v>7422332</v>
      </c>
      <c r="L87" s="457">
        <v>7367670</v>
      </c>
      <c r="M87" s="216">
        <v>4890404</v>
      </c>
      <c r="N87" s="732">
        <f>7727666+26661</f>
        <v>7754327</v>
      </c>
      <c r="O87" s="732">
        <v>8759789</v>
      </c>
      <c r="P87" s="732">
        <v>8809471</v>
      </c>
      <c r="Q87" s="732">
        <v>9501414</v>
      </c>
      <c r="R87" s="732">
        <v>9579171</v>
      </c>
      <c r="S87" s="732">
        <v>8488210</v>
      </c>
      <c r="T87" s="732">
        <v>10275871</v>
      </c>
    </row>
    <row r="88" spans="1:21" ht="15.75">
      <c r="A88" s="109" t="s">
        <v>589</v>
      </c>
      <c r="B88" s="457">
        <v>75115</v>
      </c>
      <c r="C88" s="199">
        <v>67810</v>
      </c>
      <c r="D88" s="457">
        <v>61246</v>
      </c>
      <c r="E88" s="457">
        <v>56232</v>
      </c>
      <c r="F88" s="457">
        <v>48780</v>
      </c>
      <c r="G88" s="457">
        <v>41796</v>
      </c>
      <c r="H88" s="457">
        <v>34874</v>
      </c>
      <c r="I88" s="457">
        <v>61643</v>
      </c>
      <c r="J88" s="457">
        <v>52858</v>
      </c>
      <c r="K88" s="457">
        <v>46443</v>
      </c>
      <c r="L88" s="457">
        <v>39652</v>
      </c>
      <c r="M88" s="216">
        <v>33723</v>
      </c>
      <c r="N88" s="689"/>
      <c r="O88" s="689"/>
      <c r="P88" s="689"/>
      <c r="Q88" s="689"/>
      <c r="R88" s="689"/>
      <c r="S88" s="689"/>
      <c r="T88" s="689"/>
    </row>
    <row r="89" spans="1:21" ht="26.25">
      <c r="A89" s="417" t="s">
        <v>590</v>
      </c>
      <c r="B89" s="457">
        <v>8041</v>
      </c>
      <c r="C89" s="199">
        <v>6910</v>
      </c>
      <c r="D89" s="457">
        <v>6213</v>
      </c>
      <c r="E89" s="457">
        <v>7968</v>
      </c>
      <c r="F89" s="457">
        <v>7197</v>
      </c>
      <c r="G89" s="457">
        <v>7890</v>
      </c>
      <c r="H89" s="457">
        <v>9180</v>
      </c>
      <c r="I89" s="457">
        <v>7827</v>
      </c>
      <c r="J89" s="457">
        <v>46841</v>
      </c>
      <c r="K89" s="457">
        <v>48986</v>
      </c>
      <c r="L89" s="457">
        <v>64058</v>
      </c>
      <c r="M89" s="216">
        <v>86549</v>
      </c>
      <c r="N89" s="216">
        <v>47775</v>
      </c>
      <c r="O89" s="216">
        <v>72374</v>
      </c>
      <c r="P89" s="216">
        <f>76909-21</f>
        <v>76888</v>
      </c>
      <c r="Q89" s="216">
        <v>86662</v>
      </c>
      <c r="R89" s="216">
        <v>83412</v>
      </c>
      <c r="S89" s="216">
        <v>69840</v>
      </c>
      <c r="T89" s="216">
        <f>57295-27297</f>
        <v>29998</v>
      </c>
      <c r="U89"/>
    </row>
    <row r="90" spans="1:21" ht="15.75">
      <c r="A90" s="109" t="s">
        <v>591</v>
      </c>
      <c r="B90" s="456" t="s">
        <v>69</v>
      </c>
      <c r="C90" s="199">
        <v>0</v>
      </c>
      <c r="D90" s="456" t="s">
        <v>69</v>
      </c>
      <c r="E90" s="199">
        <v>0</v>
      </c>
      <c r="F90" s="456" t="s">
        <v>69</v>
      </c>
      <c r="G90" s="457">
        <v>150594</v>
      </c>
      <c r="H90" s="457">
        <v>83862</v>
      </c>
      <c r="I90" s="457">
        <v>87573</v>
      </c>
      <c r="J90" s="457">
        <v>103198</v>
      </c>
      <c r="K90" s="457">
        <v>93501</v>
      </c>
      <c r="L90" s="457">
        <v>93800</v>
      </c>
      <c r="M90" s="216">
        <v>15156</v>
      </c>
      <c r="N90" s="216">
        <v>12</v>
      </c>
      <c r="O90" s="216">
        <v>0</v>
      </c>
      <c r="P90" s="216">
        <v>21</v>
      </c>
      <c r="Q90" s="216">
        <v>4958</v>
      </c>
      <c r="R90" s="216">
        <v>7213</v>
      </c>
      <c r="S90" s="216">
        <v>37930</v>
      </c>
      <c r="T90" s="216">
        <v>27297</v>
      </c>
    </row>
    <row r="91" spans="1:21" ht="15.75">
      <c r="A91" s="109" t="s">
        <v>342</v>
      </c>
      <c r="B91" s="712" t="s">
        <v>71</v>
      </c>
      <c r="C91" s="212">
        <v>1158941</v>
      </c>
      <c r="D91" s="712" t="s">
        <v>74</v>
      </c>
      <c r="E91" s="213">
        <v>1203375</v>
      </c>
      <c r="F91" s="712" t="s">
        <v>77</v>
      </c>
      <c r="G91" s="457">
        <v>1568219</v>
      </c>
      <c r="H91" s="457">
        <v>1543852</v>
      </c>
      <c r="I91" s="457">
        <v>1497814</v>
      </c>
      <c r="J91" s="457">
        <v>1494542</v>
      </c>
      <c r="K91" s="457">
        <v>1948323</v>
      </c>
      <c r="L91" s="457">
        <v>1940365</v>
      </c>
      <c r="M91" s="216">
        <v>1735206</v>
      </c>
      <c r="N91" s="216">
        <v>1767471</v>
      </c>
      <c r="O91" s="216">
        <v>1373385</v>
      </c>
      <c r="P91" s="216">
        <v>1371183</v>
      </c>
      <c r="Q91" s="216">
        <v>1380650</v>
      </c>
      <c r="R91" s="216">
        <v>1080793</v>
      </c>
      <c r="S91" s="216">
        <v>1114191</v>
      </c>
      <c r="T91" s="216">
        <v>1098442</v>
      </c>
    </row>
    <row r="92" spans="1:21" ht="15.75">
      <c r="A92" s="109" t="s">
        <v>350</v>
      </c>
      <c r="B92" s="713"/>
      <c r="C92" s="199">
        <v>30861</v>
      </c>
      <c r="D92" s="713"/>
      <c r="E92" s="457">
        <v>61200</v>
      </c>
      <c r="F92" s="713"/>
      <c r="G92" s="457">
        <v>82523</v>
      </c>
      <c r="H92" s="457">
        <v>84558</v>
      </c>
      <c r="I92" s="457">
        <v>141408</v>
      </c>
      <c r="J92" s="457">
        <v>140542</v>
      </c>
      <c r="K92" s="457">
        <v>165278</v>
      </c>
      <c r="L92" s="457">
        <v>166795</v>
      </c>
      <c r="M92" s="216">
        <v>377372</v>
      </c>
      <c r="N92" s="216">
        <v>442561</v>
      </c>
      <c r="O92" s="216">
        <v>449310</v>
      </c>
      <c r="P92" s="216">
        <v>296703</v>
      </c>
      <c r="Q92" s="216">
        <v>351138</v>
      </c>
      <c r="R92" s="216">
        <v>355721</v>
      </c>
      <c r="S92" s="216">
        <v>396513</v>
      </c>
      <c r="T92" s="216">
        <v>395241</v>
      </c>
    </row>
    <row r="93" spans="1:21" ht="15.75">
      <c r="A93" s="109" t="s">
        <v>344</v>
      </c>
      <c r="B93" s="457">
        <v>610845</v>
      </c>
      <c r="C93" s="199">
        <v>644522</v>
      </c>
      <c r="D93" s="457">
        <v>637279</v>
      </c>
      <c r="E93" s="457">
        <v>569562</v>
      </c>
      <c r="F93" s="457">
        <v>630731</v>
      </c>
      <c r="G93" s="457">
        <v>639643</v>
      </c>
      <c r="H93" s="457">
        <v>729055</v>
      </c>
      <c r="I93" s="457">
        <v>668487</v>
      </c>
      <c r="J93" s="457">
        <v>680537</v>
      </c>
      <c r="K93" s="457">
        <v>662072</v>
      </c>
      <c r="L93" s="457">
        <v>643584</v>
      </c>
      <c r="M93" s="216">
        <v>650364</v>
      </c>
      <c r="N93" s="216">
        <v>642503</v>
      </c>
      <c r="O93" s="216">
        <v>554293</v>
      </c>
      <c r="P93" s="216">
        <v>531524</v>
      </c>
      <c r="Q93" s="216">
        <v>541318</v>
      </c>
      <c r="R93" s="216">
        <v>360717</v>
      </c>
      <c r="S93" s="216">
        <v>440309</v>
      </c>
      <c r="T93" s="216">
        <v>442775</v>
      </c>
    </row>
    <row r="94" spans="1:21" ht="15.75">
      <c r="A94" s="109" t="s">
        <v>733</v>
      </c>
      <c r="B94" s="199">
        <v>1183700</v>
      </c>
      <c r="C94" s="199">
        <v>1191155</v>
      </c>
      <c r="D94" s="199">
        <v>1280221</v>
      </c>
      <c r="E94" s="199">
        <v>1388424</v>
      </c>
      <c r="F94" s="199">
        <v>1425554</v>
      </c>
      <c r="G94" s="199">
        <v>1367687</v>
      </c>
      <c r="H94" s="199">
        <v>1380064</v>
      </c>
      <c r="I94" s="199">
        <v>1339057</v>
      </c>
      <c r="J94" s="199">
        <v>1451536</v>
      </c>
      <c r="K94" s="199">
        <v>1357157</v>
      </c>
      <c r="L94" s="199">
        <v>1461528</v>
      </c>
      <c r="M94" s="564">
        <v>795176</v>
      </c>
      <c r="N94" s="564">
        <v>732661</v>
      </c>
      <c r="O94" s="564">
        <v>759568</v>
      </c>
      <c r="P94" s="564">
        <v>844105</v>
      </c>
      <c r="Q94" s="564">
        <v>871865</v>
      </c>
      <c r="R94" s="564">
        <v>858237</v>
      </c>
      <c r="S94" s="564">
        <v>823754</v>
      </c>
      <c r="T94" s="564">
        <v>764951</v>
      </c>
    </row>
    <row r="95" spans="1:21" ht="15.75">
      <c r="A95" s="109" t="s">
        <v>351</v>
      </c>
      <c r="B95" s="211">
        <v>0</v>
      </c>
      <c r="C95" s="211">
        <v>0</v>
      </c>
      <c r="D95" s="211">
        <v>0</v>
      </c>
      <c r="E95" s="211">
        <v>0</v>
      </c>
      <c r="F95" s="211">
        <v>0</v>
      </c>
      <c r="G95" s="211">
        <v>0</v>
      </c>
      <c r="H95" s="211">
        <v>0</v>
      </c>
      <c r="I95" s="211">
        <v>0</v>
      </c>
      <c r="J95" s="211">
        <v>0</v>
      </c>
      <c r="K95" s="211">
        <v>0</v>
      </c>
      <c r="L95" s="211">
        <v>0</v>
      </c>
      <c r="M95" s="217">
        <v>0</v>
      </c>
      <c r="N95" s="217">
        <v>0</v>
      </c>
      <c r="O95" s="217">
        <v>0</v>
      </c>
      <c r="P95" s="217">
        <v>0</v>
      </c>
      <c r="Q95" s="565">
        <v>1588</v>
      </c>
      <c r="R95" s="217">
        <v>0</v>
      </c>
      <c r="S95" s="217">
        <v>11507</v>
      </c>
      <c r="T95" s="217">
        <v>8776</v>
      </c>
    </row>
    <row r="96" spans="1:21">
      <c r="A96" s="172"/>
      <c r="B96" s="199">
        <v>3860387</v>
      </c>
      <c r="C96" s="199">
        <v>4176377</v>
      </c>
      <c r="D96" s="199">
        <v>4115836</v>
      </c>
      <c r="E96" s="199">
        <v>7538705</v>
      </c>
      <c r="F96" s="199">
        <v>8189894</v>
      </c>
      <c r="G96" s="199">
        <v>9081234</v>
      </c>
      <c r="H96" s="199">
        <v>9472271</v>
      </c>
      <c r="I96" s="199">
        <v>9304341</v>
      </c>
      <c r="J96" s="199">
        <v>9975657</v>
      </c>
      <c r="K96" s="199">
        <v>11744092</v>
      </c>
      <c r="L96" s="199">
        <v>11777452</v>
      </c>
      <c r="M96" s="199">
        <v>8583950</v>
      </c>
      <c r="N96" s="199">
        <v>11387310</v>
      </c>
      <c r="O96" s="199">
        <v>11968719</v>
      </c>
      <c r="P96" s="199">
        <v>11929895</v>
      </c>
      <c r="Q96" s="199">
        <v>12739852</v>
      </c>
      <c r="R96" s="199">
        <v>12325264</v>
      </c>
      <c r="S96" s="199">
        <v>11382254</v>
      </c>
      <c r="T96" s="199">
        <v>13043351</v>
      </c>
    </row>
    <row r="97" spans="1:20">
      <c r="A97" s="109" t="s">
        <v>348</v>
      </c>
      <c r="B97" s="210"/>
      <c r="C97" s="215"/>
      <c r="E97" s="210"/>
      <c r="F97" s="198"/>
      <c r="G97" s="198"/>
      <c r="H97" s="198"/>
      <c r="I97" s="198"/>
      <c r="J97" s="198"/>
      <c r="K97" s="192"/>
      <c r="L97" s="192">
        <v>0</v>
      </c>
      <c r="M97" s="192">
        <v>0</v>
      </c>
      <c r="N97" s="192"/>
      <c r="O97" s="192"/>
      <c r="S97" s="192"/>
    </row>
    <row r="98" spans="1:20" ht="26.25">
      <c r="A98" s="417" t="s">
        <v>593</v>
      </c>
      <c r="B98" s="457">
        <v>534404</v>
      </c>
      <c r="C98" s="199">
        <v>325027</v>
      </c>
      <c r="D98" s="457">
        <v>195849</v>
      </c>
      <c r="E98" s="457">
        <v>214169</v>
      </c>
      <c r="F98" s="457">
        <v>197340</v>
      </c>
      <c r="G98" s="457">
        <v>286990</v>
      </c>
      <c r="H98" s="457">
        <v>286568</v>
      </c>
      <c r="I98" s="457">
        <v>284633</v>
      </c>
      <c r="J98" s="457">
        <v>338249</v>
      </c>
      <c r="K98" s="457">
        <v>631530</v>
      </c>
      <c r="L98" s="457">
        <v>513116</v>
      </c>
      <c r="M98" s="216">
        <v>3201805</v>
      </c>
      <c r="N98" s="741">
        <f>1055557+15163</f>
        <v>1070720</v>
      </c>
      <c r="O98" s="741">
        <v>219740</v>
      </c>
      <c r="P98" s="741">
        <f>428241</f>
        <v>428241</v>
      </c>
      <c r="Q98" s="741">
        <v>351382</v>
      </c>
      <c r="R98" s="741">
        <v>287669</v>
      </c>
      <c r="S98" s="741">
        <v>2475167</v>
      </c>
      <c r="T98" s="741">
        <v>2109761</v>
      </c>
    </row>
    <row r="99" spans="1:20" ht="26.25">
      <c r="A99" s="417" t="s">
        <v>594</v>
      </c>
      <c r="B99" s="457">
        <v>31777</v>
      </c>
      <c r="C99" s="199">
        <v>23452</v>
      </c>
      <c r="D99" s="457">
        <v>17786</v>
      </c>
      <c r="E99" s="457">
        <v>14761</v>
      </c>
      <c r="F99" s="457">
        <v>14701</v>
      </c>
      <c r="G99" s="457">
        <v>14482</v>
      </c>
      <c r="H99" s="457">
        <v>14662</v>
      </c>
      <c r="I99" s="457">
        <v>17327</v>
      </c>
      <c r="J99" s="457">
        <v>17171</v>
      </c>
      <c r="K99" s="457">
        <v>13461</v>
      </c>
      <c r="L99" s="457">
        <v>13114</v>
      </c>
      <c r="M99" s="216">
        <v>12715</v>
      </c>
      <c r="N99" s="677"/>
      <c r="O99" s="677"/>
      <c r="P99" s="677"/>
      <c r="Q99" s="677"/>
      <c r="R99" s="677"/>
      <c r="S99" s="677"/>
      <c r="T99" s="677"/>
    </row>
    <row r="100" spans="1:20" ht="15.75">
      <c r="A100" s="109" t="s">
        <v>346</v>
      </c>
      <c r="B100" s="714" t="s">
        <v>734</v>
      </c>
      <c r="C100" s="715"/>
      <c r="D100" s="715"/>
      <c r="E100" s="715"/>
      <c r="F100" s="715"/>
      <c r="G100" s="715"/>
      <c r="H100" s="715"/>
      <c r="I100" s="715"/>
      <c r="J100" s="715"/>
      <c r="K100" s="715"/>
      <c r="L100" s="715"/>
      <c r="M100" s="715"/>
      <c r="N100" s="216">
        <v>694023</v>
      </c>
      <c r="O100" s="216">
        <v>829729</v>
      </c>
      <c r="P100" s="216">
        <v>727048</v>
      </c>
      <c r="Q100" s="216">
        <v>1042427</v>
      </c>
      <c r="R100" s="216">
        <v>832995</v>
      </c>
      <c r="S100" s="216">
        <v>1127738</v>
      </c>
      <c r="T100" s="216">
        <v>773721</v>
      </c>
    </row>
    <row r="101" spans="1:20" ht="15.75">
      <c r="A101" s="109" t="s">
        <v>349</v>
      </c>
      <c r="B101" s="715"/>
      <c r="C101" s="715"/>
      <c r="D101" s="715"/>
      <c r="E101" s="715"/>
      <c r="F101" s="715"/>
      <c r="G101" s="715"/>
      <c r="H101" s="715"/>
      <c r="I101" s="715"/>
      <c r="J101" s="715"/>
      <c r="K101" s="715"/>
      <c r="L101" s="715"/>
      <c r="M101" s="715"/>
      <c r="N101" s="216">
        <v>368703</v>
      </c>
      <c r="O101" s="216">
        <v>1033804</v>
      </c>
      <c r="P101" s="216">
        <v>317430</v>
      </c>
      <c r="Q101" s="216">
        <v>797304</v>
      </c>
      <c r="R101" s="216">
        <v>465222</v>
      </c>
      <c r="S101" s="216">
        <v>794917</v>
      </c>
      <c r="T101" s="216">
        <v>432608</v>
      </c>
    </row>
    <row r="102" spans="1:20" ht="15.75">
      <c r="A102" s="109" t="s">
        <v>347</v>
      </c>
      <c r="B102" s="715"/>
      <c r="C102" s="715"/>
      <c r="D102" s="715"/>
      <c r="E102" s="715"/>
      <c r="F102" s="715"/>
      <c r="G102" s="715"/>
      <c r="H102" s="715"/>
      <c r="I102" s="715"/>
      <c r="J102" s="715"/>
      <c r="K102" s="715"/>
      <c r="L102" s="715"/>
      <c r="M102" s="715"/>
      <c r="N102" s="216">
        <v>182643</v>
      </c>
      <c r="O102" s="216">
        <v>255735</v>
      </c>
      <c r="P102" s="216">
        <f>193270-P104</f>
        <v>189227</v>
      </c>
      <c r="Q102" s="216">
        <v>284913</v>
      </c>
      <c r="R102" s="216">
        <v>341707</v>
      </c>
      <c r="S102" s="216">
        <v>570579</v>
      </c>
      <c r="T102" s="216">
        <f>1205405-T104</f>
        <v>1003428</v>
      </c>
    </row>
    <row r="103" spans="1:20" ht="26.25">
      <c r="A103" s="476" t="s">
        <v>590</v>
      </c>
      <c r="B103" s="457">
        <f>1127523</f>
        <v>1127523</v>
      </c>
      <c r="C103" s="199">
        <v>1622806</v>
      </c>
      <c r="D103" s="457">
        <f>1479792</f>
        <v>1479792</v>
      </c>
      <c r="E103" s="457">
        <v>2349121</v>
      </c>
      <c r="F103" s="457">
        <f>2131516</f>
        <v>2131516</v>
      </c>
      <c r="G103" s="457">
        <v>2628449</v>
      </c>
      <c r="H103" s="457">
        <v>1541706</v>
      </c>
      <c r="I103" s="457">
        <v>2023537</v>
      </c>
      <c r="J103" s="457">
        <v>1625291</v>
      </c>
      <c r="K103" s="457">
        <v>1866865</v>
      </c>
      <c r="L103" s="457">
        <v>1702823</v>
      </c>
      <c r="M103" s="216">
        <v>1801262</v>
      </c>
      <c r="N103" s="729" t="s">
        <v>597</v>
      </c>
      <c r="O103" s="692"/>
      <c r="P103" s="730"/>
      <c r="Q103" s="730"/>
      <c r="R103" s="675"/>
      <c r="S103" s="192"/>
    </row>
    <row r="104" spans="1:20" ht="15.75">
      <c r="A104" s="109" t="s">
        <v>591</v>
      </c>
      <c r="B104" s="456" t="s">
        <v>69</v>
      </c>
      <c r="C104" s="199">
        <v>6917</v>
      </c>
      <c r="D104" s="456" t="s">
        <v>69</v>
      </c>
      <c r="E104" s="199">
        <v>80</v>
      </c>
      <c r="F104" s="456" t="s">
        <v>69</v>
      </c>
      <c r="G104" s="457">
        <v>40624</v>
      </c>
      <c r="H104" s="457">
        <v>74161</v>
      </c>
      <c r="I104" s="457">
        <v>73358</v>
      </c>
      <c r="J104" s="457">
        <v>80218</v>
      </c>
      <c r="K104" s="457">
        <v>102615</v>
      </c>
      <c r="L104" s="457">
        <v>98289</v>
      </c>
      <c r="M104" s="216">
        <v>96953</v>
      </c>
      <c r="N104" s="216">
        <v>125840</v>
      </c>
      <c r="O104" s="216">
        <v>560</v>
      </c>
      <c r="P104" s="216">
        <v>4043</v>
      </c>
      <c r="Q104" s="216">
        <v>57249</v>
      </c>
      <c r="R104" s="216">
        <v>202747</v>
      </c>
      <c r="S104" s="216">
        <v>202992</v>
      </c>
      <c r="T104" s="216">
        <v>201977</v>
      </c>
    </row>
    <row r="105" spans="1:20" ht="15.75">
      <c r="A105" s="109" t="s">
        <v>342</v>
      </c>
      <c r="B105" s="712" t="s">
        <v>80</v>
      </c>
      <c r="C105" s="212">
        <v>169492</v>
      </c>
      <c r="D105" s="712" t="s">
        <v>83</v>
      </c>
      <c r="E105" s="213">
        <v>153676</v>
      </c>
      <c r="F105" s="712" t="s">
        <v>86</v>
      </c>
      <c r="G105" s="457">
        <v>167704</v>
      </c>
      <c r="H105" s="457">
        <v>165595</v>
      </c>
      <c r="I105" s="457">
        <v>162368</v>
      </c>
      <c r="J105" s="457">
        <v>142315</v>
      </c>
      <c r="K105" s="457">
        <v>158954</v>
      </c>
      <c r="L105" s="457">
        <v>128598</v>
      </c>
      <c r="M105" s="216">
        <v>172505</v>
      </c>
      <c r="N105" s="216">
        <v>146575</v>
      </c>
      <c r="O105" s="216">
        <v>158228</v>
      </c>
      <c r="P105" s="216">
        <v>127480</v>
      </c>
      <c r="Q105" s="216">
        <v>134273</v>
      </c>
      <c r="R105" s="216">
        <v>92358</v>
      </c>
      <c r="S105" s="216">
        <v>117287</v>
      </c>
      <c r="T105" s="216">
        <v>110642</v>
      </c>
    </row>
    <row r="106" spans="1:20" ht="15.75">
      <c r="A106" s="109" t="s">
        <v>350</v>
      </c>
      <c r="B106" s="713"/>
      <c r="C106" s="199">
        <v>989253</v>
      </c>
      <c r="D106" s="713"/>
      <c r="E106" s="457">
        <v>1023328</v>
      </c>
      <c r="F106" s="713"/>
      <c r="G106" s="457">
        <v>1103036</v>
      </c>
      <c r="H106" s="457">
        <v>753330</v>
      </c>
      <c r="I106" s="457">
        <v>1563019</v>
      </c>
      <c r="J106" s="457">
        <v>671999</v>
      </c>
      <c r="K106" s="457">
        <v>1081415</v>
      </c>
      <c r="L106" s="457">
        <v>611345</v>
      </c>
      <c r="M106" s="216">
        <v>1196178</v>
      </c>
      <c r="N106" s="216">
        <v>706776</v>
      </c>
      <c r="O106" s="216">
        <v>1331277</v>
      </c>
      <c r="P106" s="216">
        <v>1057746</v>
      </c>
      <c r="Q106" s="216">
        <v>1306660</v>
      </c>
      <c r="R106" s="216">
        <v>827555</v>
      </c>
      <c r="S106" s="216">
        <v>1054837</v>
      </c>
      <c r="T106" s="216">
        <f>598711+521240</f>
        <v>1119951</v>
      </c>
    </row>
    <row r="107" spans="1:20" ht="15.75">
      <c r="A107" s="109" t="s">
        <v>344</v>
      </c>
      <c r="B107" s="457">
        <v>238590</v>
      </c>
      <c r="C107" s="199">
        <v>189712</v>
      </c>
      <c r="D107" s="457">
        <v>280809</v>
      </c>
      <c r="E107" s="457">
        <v>275147</v>
      </c>
      <c r="F107" s="457">
        <v>294764</v>
      </c>
      <c r="G107" s="457">
        <v>268870</v>
      </c>
      <c r="H107" s="457">
        <v>399562</v>
      </c>
      <c r="I107" s="457">
        <v>239639</v>
      </c>
      <c r="J107" s="457">
        <v>313347</v>
      </c>
      <c r="K107" s="457">
        <v>245520</v>
      </c>
      <c r="L107" s="457">
        <v>293190</v>
      </c>
      <c r="M107" s="216">
        <v>254337</v>
      </c>
      <c r="N107" s="216">
        <v>304205</v>
      </c>
      <c r="O107" s="216">
        <v>267662</v>
      </c>
      <c r="P107" s="216">
        <v>323693</v>
      </c>
      <c r="Q107" s="216">
        <v>296576</v>
      </c>
      <c r="R107" s="216">
        <v>299101</v>
      </c>
      <c r="S107" s="216">
        <v>200097</v>
      </c>
      <c r="T107" s="216">
        <v>332113</v>
      </c>
    </row>
    <row r="108" spans="1:20" ht="15.75">
      <c r="A108" s="109" t="s">
        <v>598</v>
      </c>
      <c r="B108" s="457">
        <v>68663</v>
      </c>
      <c r="C108" s="199">
        <v>68672</v>
      </c>
      <c r="D108" s="457">
        <v>76310</v>
      </c>
      <c r="E108" s="457">
        <v>163437</v>
      </c>
      <c r="F108" s="457">
        <v>45975</v>
      </c>
      <c r="G108" s="457">
        <v>113034</v>
      </c>
      <c r="H108" s="457">
        <v>63354</v>
      </c>
      <c r="I108" s="457">
        <v>79035</v>
      </c>
      <c r="J108" s="457">
        <v>1786</v>
      </c>
      <c r="K108" s="457">
        <v>13518</v>
      </c>
      <c r="L108" s="457">
        <v>1312</v>
      </c>
      <c r="M108" s="216">
        <v>85357</v>
      </c>
      <c r="N108" s="216">
        <v>0</v>
      </c>
      <c r="O108" s="216">
        <v>0</v>
      </c>
      <c r="P108" s="216">
        <v>0</v>
      </c>
      <c r="Q108" s="216">
        <v>38446</v>
      </c>
      <c r="R108" s="216"/>
      <c r="S108" s="216">
        <v>426</v>
      </c>
      <c r="T108" s="216">
        <v>3353</v>
      </c>
    </row>
    <row r="109" spans="1:20" ht="15.75">
      <c r="A109" s="109" t="s">
        <v>599</v>
      </c>
      <c r="B109" s="714" t="s">
        <v>735</v>
      </c>
      <c r="C109" s="715"/>
      <c r="D109" s="715"/>
      <c r="E109" s="715"/>
      <c r="F109" s="715"/>
      <c r="G109" s="715"/>
      <c r="H109" s="715"/>
      <c r="I109" s="715"/>
      <c r="J109" s="715"/>
      <c r="K109" s="715"/>
      <c r="L109" s="715"/>
      <c r="M109" s="715"/>
      <c r="N109" s="216">
        <v>286637</v>
      </c>
      <c r="O109" s="216">
        <v>410943</v>
      </c>
      <c r="P109" s="216">
        <v>471021</v>
      </c>
      <c r="Q109" s="216">
        <v>411714</v>
      </c>
      <c r="R109" s="216">
        <v>320851</v>
      </c>
      <c r="S109" s="216">
        <v>405654</v>
      </c>
      <c r="T109" s="216">
        <v>328966</v>
      </c>
    </row>
    <row r="110" spans="1:20" ht="15.75">
      <c r="A110" s="109" t="s">
        <v>351</v>
      </c>
      <c r="B110" s="199">
        <v>639528</v>
      </c>
      <c r="C110" s="199">
        <v>752819</v>
      </c>
      <c r="D110" s="199">
        <v>686263</v>
      </c>
      <c r="E110" s="199">
        <v>645067</v>
      </c>
      <c r="F110" s="199">
        <v>796374</v>
      </c>
      <c r="G110" s="199">
        <v>769234</v>
      </c>
      <c r="H110" s="199">
        <v>625307</v>
      </c>
      <c r="I110" s="199">
        <v>814814</v>
      </c>
      <c r="J110" s="199">
        <v>588576</v>
      </c>
      <c r="K110" s="199">
        <v>619689</v>
      </c>
      <c r="L110" s="199">
        <v>606884</v>
      </c>
      <c r="M110" s="216">
        <v>618214</v>
      </c>
      <c r="N110" s="216">
        <v>304267</v>
      </c>
      <c r="O110" s="216">
        <v>301179</v>
      </c>
      <c r="P110" s="216">
        <v>315124</v>
      </c>
      <c r="Q110" s="216">
        <v>301179</v>
      </c>
      <c r="R110" s="216">
        <v>337978</v>
      </c>
      <c r="S110" s="216">
        <v>337048</v>
      </c>
      <c r="T110" s="216">
        <v>367217</v>
      </c>
    </row>
    <row r="111" spans="1:20" ht="26.25">
      <c r="A111" s="464" t="s">
        <v>600</v>
      </c>
      <c r="B111" s="211">
        <v>0</v>
      </c>
      <c r="C111" s="211">
        <v>0</v>
      </c>
      <c r="D111" s="211">
        <v>0</v>
      </c>
      <c r="E111" s="211">
        <v>0</v>
      </c>
      <c r="F111" s="211">
        <v>0</v>
      </c>
      <c r="G111" s="211">
        <v>0</v>
      </c>
      <c r="H111" s="211">
        <v>0</v>
      </c>
      <c r="I111" s="211">
        <v>0</v>
      </c>
      <c r="J111" s="211">
        <v>0</v>
      </c>
      <c r="K111" s="211">
        <v>84970</v>
      </c>
      <c r="L111" s="211">
        <v>84157</v>
      </c>
      <c r="M111" s="217">
        <v>0</v>
      </c>
      <c r="N111" s="217">
        <v>0</v>
      </c>
      <c r="O111" s="217">
        <v>0</v>
      </c>
      <c r="P111" s="217">
        <v>0</v>
      </c>
      <c r="Q111" s="217">
        <v>0</v>
      </c>
      <c r="R111" s="217">
        <v>0</v>
      </c>
      <c r="S111" s="217">
        <v>0</v>
      </c>
      <c r="T111" s="217"/>
    </row>
    <row r="112" spans="1:20">
      <c r="A112" s="107"/>
      <c r="B112" s="457">
        <v>3358420</v>
      </c>
      <c r="C112" s="457">
        <v>4148150</v>
      </c>
      <c r="D112" s="457">
        <v>3651805</v>
      </c>
      <c r="E112" s="457">
        <v>4838786</v>
      </c>
      <c r="F112" s="457">
        <v>4339002</v>
      </c>
      <c r="G112" s="457">
        <v>5392423</v>
      </c>
      <c r="H112" s="457">
        <v>3924245</v>
      </c>
      <c r="I112" s="457">
        <v>5257730</v>
      </c>
      <c r="J112" s="457">
        <v>3778952</v>
      </c>
      <c r="K112" s="457">
        <v>4818537</v>
      </c>
      <c r="L112" s="457">
        <v>4052828</v>
      </c>
      <c r="M112" s="199">
        <v>7439326</v>
      </c>
      <c r="N112" s="199">
        <v>4190389</v>
      </c>
      <c r="O112" s="199">
        <v>4808857</v>
      </c>
      <c r="P112" s="199">
        <v>4052434</v>
      </c>
      <c r="Q112" s="199">
        <v>5027351</v>
      </c>
      <c r="R112" s="199">
        <v>4008183</v>
      </c>
      <c r="S112" s="199">
        <v>7286742</v>
      </c>
      <c r="T112" s="199">
        <v>6783737</v>
      </c>
    </row>
    <row r="113" spans="1:20">
      <c r="A113" s="107"/>
      <c r="B113" s="96"/>
      <c r="C113" s="96"/>
      <c r="D113" s="96"/>
      <c r="E113" s="96"/>
      <c r="F113" s="96"/>
      <c r="G113" s="457"/>
      <c r="H113" s="457"/>
      <c r="I113" s="457"/>
      <c r="J113" s="457"/>
      <c r="K113" s="192"/>
      <c r="L113" s="192">
        <v>0</v>
      </c>
      <c r="M113" s="199">
        <v>0</v>
      </c>
      <c r="N113" s="199"/>
      <c r="O113" s="192"/>
      <c r="P113" s="192"/>
      <c r="Q113" s="192"/>
      <c r="R113" s="192"/>
      <c r="S113" s="192"/>
      <c r="T113" s="192"/>
    </row>
    <row r="114" spans="1:20">
      <c r="A114" s="118" t="s">
        <v>352</v>
      </c>
      <c r="B114" s="205">
        <v>7218807</v>
      </c>
      <c r="C114" s="205">
        <v>8324527</v>
      </c>
      <c r="D114" s="205">
        <v>7767641</v>
      </c>
      <c r="E114" s="205">
        <v>12377491</v>
      </c>
      <c r="F114" s="205">
        <v>12528896</v>
      </c>
      <c r="G114" s="205">
        <v>14473657</v>
      </c>
      <c r="H114" s="205">
        <v>13396516</v>
      </c>
      <c r="I114" s="205">
        <v>14562071</v>
      </c>
      <c r="J114" s="205">
        <v>13754609</v>
      </c>
      <c r="K114" s="205">
        <v>16562629</v>
      </c>
      <c r="L114" s="205">
        <v>15830280</v>
      </c>
      <c r="M114" s="214">
        <v>16023276</v>
      </c>
      <c r="N114" s="214">
        <v>15577699</v>
      </c>
      <c r="O114" s="214">
        <v>16777576</v>
      </c>
      <c r="P114" s="214">
        <v>15557136</v>
      </c>
      <c r="Q114" s="214">
        <v>17767203</v>
      </c>
      <c r="R114" s="214">
        <v>16333447</v>
      </c>
      <c r="S114" s="214">
        <v>18668996</v>
      </c>
      <c r="T114" s="214">
        <v>19827088</v>
      </c>
    </row>
    <row r="115" spans="1:20">
      <c r="A115" s="107"/>
      <c r="B115" s="457"/>
      <c r="C115" s="457"/>
      <c r="D115" s="457"/>
      <c r="E115" s="457"/>
      <c r="F115" s="457"/>
      <c r="G115" s="457"/>
      <c r="H115" s="457"/>
      <c r="I115" s="457"/>
      <c r="J115" s="457"/>
      <c r="K115" s="192"/>
      <c r="L115" s="192">
        <v>0</v>
      </c>
      <c r="M115" s="214">
        <v>0</v>
      </c>
      <c r="N115" s="214"/>
      <c r="O115" s="214"/>
      <c r="P115" s="214"/>
      <c r="Q115" s="214"/>
      <c r="R115" s="214"/>
      <c r="S115" s="214"/>
      <c r="T115" s="214"/>
    </row>
    <row r="116" spans="1:20">
      <c r="A116" s="90" t="s">
        <v>353</v>
      </c>
      <c r="B116" s="205">
        <v>22016701.5</v>
      </c>
      <c r="C116" s="205">
        <v>23426963</v>
      </c>
      <c r="D116" s="205">
        <v>23404475</v>
      </c>
      <c r="E116" s="205">
        <v>28526996</v>
      </c>
      <c r="F116" s="205">
        <v>28968106</v>
      </c>
      <c r="G116" s="205">
        <v>31273677</v>
      </c>
      <c r="H116" s="205">
        <v>30689681</v>
      </c>
      <c r="I116" s="205">
        <v>32355570</v>
      </c>
      <c r="J116" s="205">
        <v>31577237</v>
      </c>
      <c r="K116" s="205">
        <v>34559193</v>
      </c>
      <c r="L116" s="205">
        <v>34322074</v>
      </c>
      <c r="M116" s="218">
        <v>32071433</v>
      </c>
      <c r="N116" s="218">
        <v>31661822</v>
      </c>
      <c r="O116" s="218">
        <v>33456894</v>
      </c>
      <c r="P116" s="218">
        <v>33225894</v>
      </c>
      <c r="Q116" s="218">
        <v>35835016</v>
      </c>
      <c r="R116" s="218">
        <v>35052682</v>
      </c>
      <c r="S116" s="218">
        <v>37097477</v>
      </c>
      <c r="T116" s="218">
        <v>39183499</v>
      </c>
    </row>
    <row r="117" spans="1:20">
      <c r="B117" s="145"/>
      <c r="C117" s="145"/>
      <c r="D117" s="210"/>
      <c r="E117" s="145"/>
      <c r="F117" s="198"/>
      <c r="G117" s="219"/>
      <c r="H117" s="219"/>
      <c r="Q117" s="192"/>
      <c r="R117" s="192"/>
      <c r="S117" s="192"/>
    </row>
    <row r="118" spans="1:20" ht="15.75">
      <c r="A118" s="459" t="s">
        <v>354</v>
      </c>
      <c r="B118" s="183"/>
      <c r="C118" s="183"/>
      <c r="D118" s="183"/>
      <c r="E118" s="183"/>
      <c r="F118" s="208"/>
      <c r="G118" s="208"/>
      <c r="H118" s="208"/>
      <c r="I118" s="137"/>
      <c r="J118" s="137"/>
      <c r="K118" s="137"/>
      <c r="L118" s="137"/>
      <c r="M118" s="137"/>
    </row>
    <row r="119" spans="1:20" ht="51">
      <c r="A119" s="455" t="s">
        <v>484</v>
      </c>
      <c r="B119" s="89" t="s">
        <v>700</v>
      </c>
      <c r="C119" s="89" t="s">
        <v>701</v>
      </c>
      <c r="D119" s="89" t="s">
        <v>702</v>
      </c>
      <c r="E119" s="89" t="s">
        <v>736</v>
      </c>
      <c r="F119" s="89" t="s">
        <v>704</v>
      </c>
      <c r="G119" s="89" t="s">
        <v>705</v>
      </c>
      <c r="H119" s="89" t="s">
        <v>706</v>
      </c>
      <c r="I119" s="140" t="s">
        <v>737</v>
      </c>
      <c r="J119" s="89" t="s">
        <v>738</v>
      </c>
      <c r="K119" s="89" t="s">
        <v>739</v>
      </c>
      <c r="L119" s="89" t="s">
        <v>740</v>
      </c>
      <c r="M119" s="89" t="s">
        <v>741</v>
      </c>
    </row>
    <row r="120" spans="1:20">
      <c r="A120" s="106" t="s">
        <v>355</v>
      </c>
      <c r="B120" s="176"/>
      <c r="C120" s="176"/>
      <c r="D120" s="176"/>
      <c r="E120" s="176"/>
      <c r="F120" s="176"/>
      <c r="G120" s="176"/>
      <c r="H120" s="176"/>
      <c r="I120" s="176"/>
      <c r="J120" s="176"/>
      <c r="K120" s="176"/>
      <c r="L120" s="176"/>
      <c r="M120" s="176"/>
    </row>
    <row r="121" spans="1:20">
      <c r="A121" s="185" t="s">
        <v>742</v>
      </c>
      <c r="B121" s="457">
        <v>721458</v>
      </c>
      <c r="C121" s="457">
        <v>535856</v>
      </c>
      <c r="D121" s="457">
        <v>914865</v>
      </c>
      <c r="E121" s="457">
        <v>685086</v>
      </c>
      <c r="F121" s="457">
        <v>1142356</v>
      </c>
      <c r="G121" s="457">
        <v>805221</v>
      </c>
      <c r="H121" s="457">
        <v>1086154</v>
      </c>
      <c r="I121" s="171">
        <v>599083</v>
      </c>
      <c r="J121" s="171">
        <v>925543</v>
      </c>
      <c r="K121" s="171">
        <v>572672</v>
      </c>
      <c r="L121" s="171">
        <v>858803</v>
      </c>
      <c r="M121" s="171">
        <v>-3046574</v>
      </c>
      <c r="N121" s="192"/>
      <c r="O121" s="192"/>
    </row>
    <row r="122" spans="1:20">
      <c r="A122" s="107" t="s">
        <v>743</v>
      </c>
      <c r="B122" s="457"/>
      <c r="C122" s="457"/>
      <c r="D122" s="457"/>
      <c r="E122" s="457"/>
      <c r="F122" s="457"/>
      <c r="G122" s="457"/>
      <c r="H122" s="457"/>
      <c r="I122" s="107"/>
      <c r="J122" s="171"/>
      <c r="K122" s="171"/>
      <c r="L122" s="171"/>
      <c r="M122" s="171"/>
      <c r="N122" s="192"/>
      <c r="O122" s="192"/>
    </row>
    <row r="123" spans="1:20">
      <c r="A123" s="185" t="s">
        <v>623</v>
      </c>
      <c r="B123" s="457">
        <v>0</v>
      </c>
      <c r="C123" s="457">
        <v>236</v>
      </c>
      <c r="D123" s="457">
        <v>539</v>
      </c>
      <c r="E123" s="457">
        <v>507</v>
      </c>
      <c r="F123" s="457">
        <v>671</v>
      </c>
      <c r="G123" s="457">
        <v>1063</v>
      </c>
      <c r="H123" s="457">
        <v>1414</v>
      </c>
      <c r="I123" s="171">
        <v>1295</v>
      </c>
      <c r="J123" s="171">
        <v>776</v>
      </c>
      <c r="K123" s="171">
        <v>160</v>
      </c>
      <c r="L123" s="171">
        <v>-4870</v>
      </c>
      <c r="M123" s="171">
        <v>-3063</v>
      </c>
      <c r="N123" s="192"/>
      <c r="O123" s="192"/>
    </row>
    <row r="124" spans="1:20">
      <c r="A124" s="131" t="s">
        <v>358</v>
      </c>
      <c r="B124" s="457">
        <v>688528</v>
      </c>
      <c r="C124" s="457">
        <v>670250</v>
      </c>
      <c r="D124" s="457">
        <v>697832</v>
      </c>
      <c r="E124" s="457">
        <v>713265</v>
      </c>
      <c r="F124" s="457">
        <v>827688</v>
      </c>
      <c r="G124" s="457">
        <v>858516</v>
      </c>
      <c r="H124" s="457">
        <v>863645</v>
      </c>
      <c r="I124" s="171">
        <v>863424</v>
      </c>
      <c r="J124" s="171">
        <v>912105</v>
      </c>
      <c r="K124" s="171">
        <v>884812</v>
      </c>
      <c r="L124" s="171">
        <v>870603</v>
      </c>
      <c r="M124" s="171">
        <v>962177</v>
      </c>
      <c r="N124" s="192"/>
      <c r="O124" s="192"/>
    </row>
    <row r="125" spans="1:20">
      <c r="A125" s="131" t="s">
        <v>624</v>
      </c>
      <c r="B125" s="457">
        <v>2777</v>
      </c>
      <c r="C125" s="457">
        <v>-2734</v>
      </c>
      <c r="D125" s="457">
        <v>-426</v>
      </c>
      <c r="E125" s="457">
        <v>3245</v>
      </c>
      <c r="F125" s="457">
        <v>-1119</v>
      </c>
      <c r="G125" s="457">
        <v>728</v>
      </c>
      <c r="H125" s="457">
        <v>1904</v>
      </c>
      <c r="I125" s="171">
        <v>-1057</v>
      </c>
      <c r="J125" s="171">
        <v>25</v>
      </c>
      <c r="K125" s="171">
        <v>7232</v>
      </c>
      <c r="L125" s="171">
        <v>-11427</v>
      </c>
      <c r="M125" s="171">
        <v>10712</v>
      </c>
      <c r="N125" s="192"/>
      <c r="O125" s="192"/>
    </row>
    <row r="126" spans="1:20">
      <c r="A126" s="131" t="s">
        <v>625</v>
      </c>
      <c r="B126" s="457">
        <v>56409</v>
      </c>
      <c r="C126" s="457">
        <v>75922</v>
      </c>
      <c r="D126" s="457">
        <v>25180</v>
      </c>
      <c r="E126" s="457">
        <v>33114</v>
      </c>
      <c r="F126" s="457">
        <v>107233</v>
      </c>
      <c r="G126" s="457">
        <v>118293</v>
      </c>
      <c r="H126" s="457">
        <v>104517</v>
      </c>
      <c r="I126" s="171">
        <v>115766</v>
      </c>
      <c r="J126" s="171">
        <v>137034</v>
      </c>
      <c r="K126" s="171">
        <v>149699</v>
      </c>
      <c r="L126" s="171">
        <v>137277</v>
      </c>
      <c r="M126" s="171">
        <v>136225</v>
      </c>
      <c r="N126" s="192"/>
      <c r="O126" s="192"/>
    </row>
    <row r="127" spans="1:20">
      <c r="A127" s="131" t="s">
        <v>626</v>
      </c>
      <c r="B127" s="457">
        <v>1252</v>
      </c>
      <c r="C127" s="457">
        <v>11901</v>
      </c>
      <c r="D127" s="457">
        <v>12205</v>
      </c>
      <c r="E127" s="457">
        <v>-28773</v>
      </c>
      <c r="F127" s="457">
        <v>17381</v>
      </c>
      <c r="G127" s="457">
        <v>17934</v>
      </c>
      <c r="H127" s="457">
        <v>235762</v>
      </c>
      <c r="I127" s="171">
        <v>81952</v>
      </c>
      <c r="J127" s="171">
        <v>29869</v>
      </c>
      <c r="K127" s="171">
        <v>14674</v>
      </c>
      <c r="L127" s="171">
        <v>38771</v>
      </c>
      <c r="M127" s="171">
        <v>3570051</v>
      </c>
      <c r="N127" s="192"/>
      <c r="O127" s="192"/>
    </row>
    <row r="128" spans="1:20">
      <c r="A128" s="131" t="s">
        <v>627</v>
      </c>
      <c r="B128" s="457">
        <v>-126694</v>
      </c>
      <c r="C128" s="457">
        <v>-268699</v>
      </c>
      <c r="D128" s="457">
        <v>-152979</v>
      </c>
      <c r="E128" s="457">
        <v>5034</v>
      </c>
      <c r="F128" s="457">
        <v>-68359</v>
      </c>
      <c r="G128" s="457">
        <v>-223345</v>
      </c>
      <c r="H128" s="457">
        <v>461636</v>
      </c>
      <c r="I128" s="171">
        <v>462781</v>
      </c>
      <c r="J128" s="171">
        <v>211343</v>
      </c>
      <c r="K128" s="171">
        <v>-99627</v>
      </c>
      <c r="L128" s="171">
        <v>91476</v>
      </c>
      <c r="M128" s="171">
        <v>27330</v>
      </c>
      <c r="N128" s="192"/>
      <c r="O128" s="192"/>
    </row>
    <row r="129" spans="1:15">
      <c r="A129" s="131" t="s">
        <v>628</v>
      </c>
      <c r="B129" s="457">
        <v>96263</v>
      </c>
      <c r="C129" s="457">
        <v>21109</v>
      </c>
      <c r="D129" s="457">
        <v>16750</v>
      </c>
      <c r="E129" s="457">
        <v>-201338</v>
      </c>
      <c r="F129" s="457">
        <v>40473</v>
      </c>
      <c r="G129" s="457">
        <v>-176565</v>
      </c>
      <c r="H129" s="457">
        <v>239093</v>
      </c>
      <c r="I129" s="171">
        <v>-52325</v>
      </c>
      <c r="J129" s="171">
        <v>31400</v>
      </c>
      <c r="K129" s="171">
        <v>-75268</v>
      </c>
      <c r="L129" s="171">
        <v>121565</v>
      </c>
      <c r="M129" s="171">
        <v>-31068</v>
      </c>
      <c r="N129" s="192"/>
      <c r="O129" s="192"/>
    </row>
    <row r="130" spans="1:15" ht="26.25">
      <c r="A130" s="185" t="s">
        <v>629</v>
      </c>
      <c r="B130" s="457">
        <v>-172297</v>
      </c>
      <c r="C130" s="457">
        <v>387855</v>
      </c>
      <c r="D130" s="457">
        <v>-342376</v>
      </c>
      <c r="E130" s="457">
        <v>266156</v>
      </c>
      <c r="F130" s="457">
        <v>-366280</v>
      </c>
      <c r="G130" s="457">
        <v>436492</v>
      </c>
      <c r="H130" s="457">
        <v>-769801</v>
      </c>
      <c r="I130" s="171">
        <v>440924</v>
      </c>
      <c r="J130" s="171">
        <v>-644965</v>
      </c>
      <c r="K130" s="171">
        <v>410951</v>
      </c>
      <c r="L130" s="171">
        <v>-358148</v>
      </c>
      <c r="M130" s="171">
        <v>177512</v>
      </c>
      <c r="N130" s="192"/>
      <c r="O130" s="192"/>
    </row>
    <row r="131" spans="1:15" ht="26.25">
      <c r="A131" s="185" t="s">
        <v>630</v>
      </c>
      <c r="B131" s="457">
        <v>116206</v>
      </c>
      <c r="C131" s="457">
        <v>-227295</v>
      </c>
      <c r="D131" s="457">
        <v>28075</v>
      </c>
      <c r="E131" s="457">
        <v>-104679</v>
      </c>
      <c r="F131" s="457">
        <v>23923</v>
      </c>
      <c r="G131" s="457">
        <v>50989</v>
      </c>
      <c r="H131" s="457">
        <v>157149</v>
      </c>
      <c r="I131" s="171">
        <v>-690596</v>
      </c>
      <c r="J131" s="171">
        <v>474289</v>
      </c>
      <c r="K131" s="171">
        <v>-652698</v>
      </c>
      <c r="L131" s="171">
        <v>442249</v>
      </c>
      <c r="M131" s="171">
        <v>-546425</v>
      </c>
      <c r="N131" s="192"/>
      <c r="O131" s="192"/>
    </row>
    <row r="132" spans="1:15" ht="26.25">
      <c r="A132" s="185" t="s">
        <v>744</v>
      </c>
      <c r="B132" s="457">
        <v>-3407</v>
      </c>
      <c r="C132" s="457">
        <v>-27691</v>
      </c>
      <c r="D132" s="457">
        <v>72500</v>
      </c>
      <c r="E132" s="457">
        <v>-111652</v>
      </c>
      <c r="F132" s="457">
        <v>-6238</v>
      </c>
      <c r="G132" s="457">
        <v>-59015</v>
      </c>
      <c r="H132" s="457">
        <v>91452</v>
      </c>
      <c r="I132" s="171">
        <v>-218270</v>
      </c>
      <c r="J132" s="171">
        <v>32735</v>
      </c>
      <c r="K132" s="171">
        <v>-100068</v>
      </c>
      <c r="L132" s="171">
        <v>11210</v>
      </c>
      <c r="M132" s="171">
        <v>-85172</v>
      </c>
      <c r="N132" s="192"/>
      <c r="O132" s="192"/>
    </row>
    <row r="133" spans="1:15">
      <c r="A133" s="131" t="s">
        <v>632</v>
      </c>
      <c r="B133" s="457">
        <v>-211938</v>
      </c>
      <c r="C133" s="457">
        <v>413068</v>
      </c>
      <c r="D133" s="457">
        <v>-157895</v>
      </c>
      <c r="E133" s="457">
        <v>-52140</v>
      </c>
      <c r="F133" s="457">
        <v>-188393</v>
      </c>
      <c r="G133" s="457">
        <v>448939</v>
      </c>
      <c r="H133" s="457">
        <v>-371031</v>
      </c>
      <c r="I133" s="171">
        <v>835727</v>
      </c>
      <c r="J133" s="171">
        <v>-915736</v>
      </c>
      <c r="K133" s="171">
        <v>620273</v>
      </c>
      <c r="L133" s="171">
        <v>-505248</v>
      </c>
      <c r="M133" s="171">
        <v>647091</v>
      </c>
      <c r="N133" s="192"/>
      <c r="O133" s="192"/>
    </row>
    <row r="134" spans="1:15">
      <c r="A134" s="131" t="s">
        <v>363</v>
      </c>
      <c r="B134" s="457">
        <v>-77688</v>
      </c>
      <c r="C134" s="457">
        <v>-160712</v>
      </c>
      <c r="D134" s="457">
        <v>-51306</v>
      </c>
      <c r="E134" s="457">
        <v>-60623</v>
      </c>
      <c r="F134" s="457">
        <v>-216050</v>
      </c>
      <c r="G134" s="457">
        <v>-112795</v>
      </c>
      <c r="H134" s="457">
        <v>-260466</v>
      </c>
      <c r="I134" s="171">
        <v>-206171</v>
      </c>
      <c r="J134" s="171">
        <v>-196157</v>
      </c>
      <c r="K134" s="171">
        <v>-112236</v>
      </c>
      <c r="L134" s="171">
        <v>-71201</v>
      </c>
      <c r="M134" s="171">
        <v>-40515</v>
      </c>
      <c r="N134" s="192"/>
      <c r="O134" s="192"/>
    </row>
    <row r="135" spans="1:15">
      <c r="A135" s="131" t="s">
        <v>169</v>
      </c>
      <c r="B135" s="457">
        <v>18</v>
      </c>
      <c r="C135" s="457">
        <v>392</v>
      </c>
      <c r="D135" s="457">
        <v>-79</v>
      </c>
      <c r="E135" s="457">
        <v>-1161</v>
      </c>
      <c r="F135" s="457">
        <v>209</v>
      </c>
      <c r="G135" s="457">
        <v>-899</v>
      </c>
      <c r="H135" s="457">
        <v>-961</v>
      </c>
      <c r="I135" s="171">
        <v>-4425</v>
      </c>
      <c r="J135" s="171">
        <v>-588</v>
      </c>
      <c r="K135" s="171">
        <v>-342</v>
      </c>
      <c r="L135" s="171">
        <v>0</v>
      </c>
      <c r="M135" s="171">
        <v>-11883</v>
      </c>
      <c r="N135" s="192"/>
      <c r="O135" s="192"/>
    </row>
    <row r="136" spans="1:15">
      <c r="A136" s="90" t="s">
        <v>633</v>
      </c>
      <c r="B136" s="205">
        <v>1090887</v>
      </c>
      <c r="C136" s="205">
        <v>1429458</v>
      </c>
      <c r="D136" s="205">
        <v>1062885</v>
      </c>
      <c r="E136" s="205">
        <v>1146041</v>
      </c>
      <c r="F136" s="205">
        <v>1313495</v>
      </c>
      <c r="G136" s="205">
        <v>2165556</v>
      </c>
      <c r="H136" s="205">
        <v>1840467</v>
      </c>
      <c r="I136" s="205">
        <v>2228108</v>
      </c>
      <c r="J136" s="205">
        <v>997673</v>
      </c>
      <c r="K136" s="205">
        <v>1620234</v>
      </c>
      <c r="L136" s="205">
        <v>1621060</v>
      </c>
      <c r="M136" s="220">
        <v>1766398</v>
      </c>
      <c r="N136" s="192"/>
      <c r="O136" s="192"/>
    </row>
    <row r="137" spans="1:15">
      <c r="A137" s="107" t="s">
        <v>365</v>
      </c>
      <c r="B137" s="219"/>
      <c r="C137" s="219"/>
      <c r="D137" s="457"/>
      <c r="E137" s="219"/>
      <c r="F137" s="457"/>
      <c r="G137" s="457"/>
      <c r="H137" s="457"/>
      <c r="I137" s="107"/>
      <c r="J137" s="171"/>
      <c r="K137" s="192"/>
      <c r="L137" s="192"/>
      <c r="M137" s="221">
        <v>0</v>
      </c>
      <c r="N137" s="192"/>
      <c r="O137" s="192"/>
    </row>
    <row r="138" spans="1:15" ht="26.25">
      <c r="A138" s="185" t="s">
        <v>634</v>
      </c>
      <c r="B138" s="457">
        <v>3147</v>
      </c>
      <c r="C138" s="457">
        <v>8584</v>
      </c>
      <c r="D138" s="457">
        <v>19786</v>
      </c>
      <c r="E138" s="457">
        <v>20171</v>
      </c>
      <c r="F138" s="457">
        <v>6710</v>
      </c>
      <c r="G138" s="457">
        <v>43482</v>
      </c>
      <c r="H138" s="457">
        <v>9959</v>
      </c>
      <c r="I138" s="171">
        <v>19826</v>
      </c>
      <c r="J138" s="171">
        <v>30295</v>
      </c>
      <c r="K138" s="171">
        <v>17505</v>
      </c>
      <c r="L138" s="171">
        <v>19379</v>
      </c>
      <c r="M138" s="178">
        <v>17175</v>
      </c>
      <c r="N138" s="192"/>
      <c r="O138" s="192"/>
    </row>
    <row r="139" spans="1:15" ht="26.25">
      <c r="A139" s="185" t="s">
        <v>366</v>
      </c>
      <c r="B139" s="457">
        <v>-690511</v>
      </c>
      <c r="C139" s="457">
        <v>-827577</v>
      </c>
      <c r="D139" s="457">
        <v>-932831</v>
      </c>
      <c r="E139" s="457">
        <v>-1369439</v>
      </c>
      <c r="F139" s="457">
        <v>-1613621</v>
      </c>
      <c r="G139" s="457">
        <v>-1688850</v>
      </c>
      <c r="H139" s="457">
        <v>-1846214</v>
      </c>
      <c r="I139" s="171">
        <v>-2087459</v>
      </c>
      <c r="J139" s="171">
        <v>-1742014</v>
      </c>
      <c r="K139" s="171">
        <v>-1722564</v>
      </c>
      <c r="L139" s="171">
        <v>-1850110</v>
      </c>
      <c r="M139" s="178">
        <v>-2123400</v>
      </c>
      <c r="N139" s="192"/>
      <c r="O139" s="192"/>
    </row>
    <row r="140" spans="1:15" ht="26.25">
      <c r="A140" s="185" t="s">
        <v>635</v>
      </c>
      <c r="B140" s="457">
        <v>0</v>
      </c>
      <c r="C140" s="457">
        <v>0</v>
      </c>
      <c r="D140" s="457">
        <v>0</v>
      </c>
      <c r="E140" s="457">
        <v>1493</v>
      </c>
      <c r="F140" s="457">
        <v>102506</v>
      </c>
      <c r="G140" s="457">
        <v>0</v>
      </c>
      <c r="H140" s="457">
        <v>0</v>
      </c>
      <c r="I140" s="171">
        <v>0</v>
      </c>
      <c r="J140" s="171">
        <v>0</v>
      </c>
      <c r="K140" s="171">
        <v>0</v>
      </c>
      <c r="L140" s="171">
        <v>21732</v>
      </c>
      <c r="M140" s="178">
        <v>0</v>
      </c>
      <c r="N140" s="192"/>
      <c r="O140" s="192"/>
    </row>
    <row r="141" spans="1:15">
      <c r="A141" s="131" t="s">
        <v>636</v>
      </c>
      <c r="B141" s="457">
        <v>7820</v>
      </c>
      <c r="C141" s="457">
        <v>48369</v>
      </c>
      <c r="D141" s="457">
        <v>25065</v>
      </c>
      <c r="E141" s="457">
        <v>87746</v>
      </c>
      <c r="F141" s="457">
        <v>7260</v>
      </c>
      <c r="G141" s="457">
        <v>14751</v>
      </c>
      <c r="H141" s="457">
        <v>760</v>
      </c>
      <c r="I141" s="171">
        <v>3477</v>
      </c>
      <c r="J141" s="171">
        <v>1272</v>
      </c>
      <c r="K141" s="171">
        <v>36992</v>
      </c>
      <c r="L141" s="171">
        <f>23649-21732</f>
        <v>1917</v>
      </c>
      <c r="M141" s="178">
        <v>1160</v>
      </c>
      <c r="N141" s="192"/>
      <c r="O141" s="192"/>
    </row>
    <row r="142" spans="1:15">
      <c r="A142" s="131" t="s">
        <v>637</v>
      </c>
      <c r="B142" s="457">
        <v>0</v>
      </c>
      <c r="C142" s="457">
        <v>0</v>
      </c>
      <c r="D142" s="457">
        <v>0</v>
      </c>
      <c r="E142" s="457">
        <v>0</v>
      </c>
      <c r="F142" s="457">
        <v>0</v>
      </c>
      <c r="G142" s="457">
        <v>0</v>
      </c>
      <c r="H142" s="457">
        <v>0</v>
      </c>
      <c r="I142" s="171">
        <v>-232500</v>
      </c>
      <c r="J142" s="171">
        <v>0</v>
      </c>
      <c r="K142" s="171">
        <v>0</v>
      </c>
      <c r="L142" s="171">
        <v>0</v>
      </c>
      <c r="M142" s="178">
        <v>0</v>
      </c>
      <c r="N142" s="192"/>
      <c r="O142" s="192"/>
    </row>
    <row r="143" spans="1:15">
      <c r="A143" s="131" t="s">
        <v>638</v>
      </c>
      <c r="B143" s="457">
        <v>-50156</v>
      </c>
      <c r="C143" s="457">
        <v>-19414</v>
      </c>
      <c r="D143" s="457">
        <f>-14634</f>
        <v>-14634</v>
      </c>
      <c r="E143" s="457">
        <v>-133355</v>
      </c>
      <c r="F143" s="457">
        <v>-8396</v>
      </c>
      <c r="G143" s="457">
        <v>-2067</v>
      </c>
      <c r="H143" s="457">
        <v>-4246</v>
      </c>
      <c r="I143" s="171">
        <v>-674</v>
      </c>
      <c r="J143" s="171">
        <v>-4400</v>
      </c>
      <c r="K143" s="171">
        <v>-2284</v>
      </c>
      <c r="L143" s="171">
        <v>-21734</v>
      </c>
      <c r="M143" s="178">
        <v>-7333</v>
      </c>
      <c r="N143" s="192"/>
      <c r="O143" s="192"/>
    </row>
    <row r="144" spans="1:15">
      <c r="A144" s="131" t="s">
        <v>745</v>
      </c>
      <c r="B144" s="457">
        <v>0</v>
      </c>
      <c r="C144" s="457">
        <v>-1000</v>
      </c>
      <c r="D144" s="457">
        <v>-13000</v>
      </c>
      <c r="E144" s="457">
        <v>-10000</v>
      </c>
      <c r="F144" s="457">
        <v>0</v>
      </c>
      <c r="G144" s="457">
        <v>-32576</v>
      </c>
      <c r="H144" s="457">
        <v>0</v>
      </c>
      <c r="I144" s="171">
        <v>0</v>
      </c>
      <c r="J144" s="171">
        <v>0</v>
      </c>
      <c r="K144" s="171">
        <v>0</v>
      </c>
      <c r="L144" s="171">
        <v>0</v>
      </c>
      <c r="M144" s="178">
        <v>0</v>
      </c>
      <c r="N144" s="192"/>
      <c r="O144" s="192"/>
    </row>
    <row r="145" spans="1:15" ht="26.25">
      <c r="A145" s="185" t="s">
        <v>640</v>
      </c>
      <c r="B145" s="457">
        <v>0</v>
      </c>
      <c r="C145" s="457">
        <v>23</v>
      </c>
      <c r="D145" s="457">
        <v>0</v>
      </c>
      <c r="E145" s="457">
        <v>-3379615</v>
      </c>
      <c r="F145" s="457">
        <v>-5613</v>
      </c>
      <c r="G145" s="457">
        <v>0</v>
      </c>
      <c r="H145" s="457">
        <v>0</v>
      </c>
      <c r="I145" s="171">
        <v>0</v>
      </c>
      <c r="J145" s="171">
        <v>0</v>
      </c>
      <c r="K145" s="171">
        <v>0</v>
      </c>
      <c r="L145" s="171">
        <v>0</v>
      </c>
      <c r="M145" s="178">
        <v>0</v>
      </c>
      <c r="N145" s="192"/>
      <c r="O145" s="192"/>
    </row>
    <row r="146" spans="1:15">
      <c r="A146" s="131" t="s">
        <v>641</v>
      </c>
      <c r="B146" s="457">
        <v>2198</v>
      </c>
      <c r="C146" s="457">
        <v>2151</v>
      </c>
      <c r="D146" s="457">
        <v>6358</v>
      </c>
      <c r="E146" s="457">
        <v>1815</v>
      </c>
      <c r="F146" s="457">
        <v>1485</v>
      </c>
      <c r="G146" s="457">
        <v>6864</v>
      </c>
      <c r="H146" s="457">
        <v>7396</v>
      </c>
      <c r="I146" s="171">
        <v>10927</v>
      </c>
      <c r="J146" s="171">
        <v>2096</v>
      </c>
      <c r="K146" s="171">
        <v>1835</v>
      </c>
      <c r="L146" s="171">
        <v>3585</v>
      </c>
      <c r="M146" s="178">
        <v>1099</v>
      </c>
      <c r="N146" s="192"/>
      <c r="O146" s="192"/>
    </row>
    <row r="147" spans="1:15">
      <c r="A147" s="131" t="s">
        <v>642</v>
      </c>
      <c r="B147" s="457">
        <v>162</v>
      </c>
      <c r="C147" s="457">
        <v>1215</v>
      </c>
      <c r="D147" s="457">
        <v>27</v>
      </c>
      <c r="E147" s="457">
        <v>639</v>
      </c>
      <c r="F147" s="457">
        <v>1</v>
      </c>
      <c r="G147" s="457">
        <v>135</v>
      </c>
      <c r="H147" s="457">
        <v>56</v>
      </c>
      <c r="I147" s="171">
        <v>-16</v>
      </c>
      <c r="J147" s="171">
        <v>469</v>
      </c>
      <c r="K147" s="171">
        <v>599</v>
      </c>
      <c r="L147" s="171">
        <v>5620</v>
      </c>
      <c r="M147" s="178">
        <v>388</v>
      </c>
      <c r="N147" s="192"/>
      <c r="O147" s="192"/>
    </row>
    <row r="148" spans="1:15">
      <c r="A148" s="131" t="s">
        <v>643</v>
      </c>
      <c r="B148" s="457">
        <v>30</v>
      </c>
      <c r="C148" s="457">
        <v>1445</v>
      </c>
      <c r="D148" s="457">
        <v>25</v>
      </c>
      <c r="E148" s="457">
        <v>215</v>
      </c>
      <c r="F148" s="457">
        <v>0</v>
      </c>
      <c r="G148" s="457">
        <v>24500</v>
      </c>
      <c r="H148" s="457">
        <v>17550</v>
      </c>
      <c r="I148" s="171">
        <v>29250</v>
      </c>
      <c r="J148" s="171">
        <v>5850</v>
      </c>
      <c r="K148" s="171">
        <v>5850</v>
      </c>
      <c r="L148" s="171">
        <v>14500</v>
      </c>
      <c r="M148" s="178">
        <v>0</v>
      </c>
      <c r="N148" s="192"/>
      <c r="O148" s="192"/>
    </row>
    <row r="149" spans="1:15">
      <c r="A149" s="131" t="s">
        <v>367</v>
      </c>
      <c r="B149" s="457">
        <v>-9000</v>
      </c>
      <c r="C149" s="457">
        <v>7600</v>
      </c>
      <c r="D149" s="457">
        <v>0</v>
      </c>
      <c r="E149" s="457">
        <v>0</v>
      </c>
      <c r="F149" s="457">
        <v>-75000</v>
      </c>
      <c r="G149" s="457">
        <v>-64500</v>
      </c>
      <c r="H149" s="457">
        <v>-79550</v>
      </c>
      <c r="I149" s="171">
        <v>-29250</v>
      </c>
      <c r="J149" s="171">
        <v>-5850</v>
      </c>
      <c r="K149" s="171">
        <v>-12200</v>
      </c>
      <c r="L149" s="171">
        <v>-8150</v>
      </c>
      <c r="M149" s="178">
        <v>-17950</v>
      </c>
      <c r="N149" s="192"/>
      <c r="O149" s="192"/>
    </row>
    <row r="150" spans="1:15">
      <c r="A150" s="131" t="s">
        <v>169</v>
      </c>
      <c r="B150" s="457">
        <v>2972</v>
      </c>
      <c r="C150" s="457">
        <v>3466</v>
      </c>
      <c r="D150" s="457">
        <v>0</v>
      </c>
      <c r="E150" s="457">
        <v>0</v>
      </c>
      <c r="F150" s="457">
        <v>0</v>
      </c>
      <c r="G150" s="457">
        <v>0</v>
      </c>
      <c r="H150" s="457">
        <v>4</v>
      </c>
      <c r="I150" s="171">
        <v>216</v>
      </c>
      <c r="J150" s="171">
        <v>0</v>
      </c>
      <c r="K150" s="171">
        <v>-184</v>
      </c>
      <c r="L150" s="171">
        <v>0</v>
      </c>
      <c r="M150" s="178">
        <v>0</v>
      </c>
      <c r="N150" s="192"/>
      <c r="O150" s="192"/>
    </row>
    <row r="151" spans="1:15">
      <c r="A151" s="90" t="s">
        <v>372</v>
      </c>
      <c r="B151" s="205">
        <v>-733338</v>
      </c>
      <c r="C151" s="205">
        <v>-775138</v>
      </c>
      <c r="D151" s="205">
        <v>-909204</v>
      </c>
      <c r="E151" s="205">
        <v>-4780330</v>
      </c>
      <c r="F151" s="205">
        <v>-1584668</v>
      </c>
      <c r="G151" s="205">
        <v>-1698261</v>
      </c>
      <c r="H151" s="205">
        <v>-1894285</v>
      </c>
      <c r="I151" s="205">
        <v>-2286203</v>
      </c>
      <c r="J151" s="205">
        <v>-1712282</v>
      </c>
      <c r="K151" s="205">
        <v>-1674451</v>
      </c>
      <c r="L151" s="205">
        <v>-1813261</v>
      </c>
      <c r="M151" s="205">
        <v>-2128861</v>
      </c>
      <c r="N151" s="192"/>
      <c r="O151" s="192"/>
    </row>
    <row r="152" spans="1:15">
      <c r="A152" s="107" t="s">
        <v>373</v>
      </c>
      <c r="B152" s="219"/>
      <c r="C152" s="219"/>
      <c r="D152" s="219"/>
      <c r="E152" s="219"/>
      <c r="F152" s="457"/>
      <c r="G152" s="219"/>
      <c r="H152" s="457"/>
      <c r="I152" s="457"/>
      <c r="J152" s="457"/>
      <c r="M152" s="222">
        <v>0</v>
      </c>
      <c r="N152" s="192"/>
      <c r="O152" s="192"/>
    </row>
    <row r="153" spans="1:15">
      <c r="A153" s="131" t="s">
        <v>644</v>
      </c>
      <c r="B153" s="223">
        <v>-18568</v>
      </c>
      <c r="C153" s="223">
        <v>-17274</v>
      </c>
      <c r="D153" s="457">
        <v>-14920</v>
      </c>
      <c r="E153" s="457">
        <v>-10683</v>
      </c>
      <c r="F153" s="457">
        <v>-7853</v>
      </c>
      <c r="G153" s="457">
        <v>-6981</v>
      </c>
      <c r="H153" s="457">
        <v>-7495</v>
      </c>
      <c r="I153" s="457">
        <v>-7416</v>
      </c>
      <c r="J153" s="457">
        <v>-9899</v>
      </c>
      <c r="K153" s="457">
        <v>-10723</v>
      </c>
      <c r="L153" s="457">
        <v>-7716</v>
      </c>
      <c r="M153" s="199">
        <v>-6710</v>
      </c>
      <c r="N153" s="192"/>
      <c r="O153" s="192"/>
    </row>
    <row r="154" spans="1:15">
      <c r="A154" s="131" t="s">
        <v>645</v>
      </c>
      <c r="B154" s="223">
        <v>59531</v>
      </c>
      <c r="C154" s="223">
        <v>107584</v>
      </c>
      <c r="D154" s="457">
        <v>75594</v>
      </c>
      <c r="E154" s="457">
        <v>11660</v>
      </c>
      <c r="F154" s="457">
        <v>549000</v>
      </c>
      <c r="G154" s="457">
        <v>456000</v>
      </c>
      <c r="H154" s="457">
        <v>451180</v>
      </c>
      <c r="I154" s="457">
        <v>1145</v>
      </c>
      <c r="J154" s="457">
        <v>0</v>
      </c>
      <c r="K154" s="457">
        <v>0</v>
      </c>
      <c r="L154" s="457">
        <v>0</v>
      </c>
      <c r="M154" s="199">
        <v>295000</v>
      </c>
      <c r="N154" s="192"/>
      <c r="O154" s="192"/>
    </row>
    <row r="155" spans="1:15">
      <c r="A155" s="131" t="s">
        <v>646</v>
      </c>
      <c r="B155" s="223">
        <v>-233080</v>
      </c>
      <c r="C155" s="223">
        <v>-510940</v>
      </c>
      <c r="D155" s="457">
        <v>-235984</v>
      </c>
      <c r="E155" s="457">
        <v>-231199</v>
      </c>
      <c r="F155" s="457">
        <v>-96515</v>
      </c>
      <c r="G155" s="457">
        <v>-160695</v>
      </c>
      <c r="H155" s="457">
        <v>-19648</v>
      </c>
      <c r="I155" s="457">
        <v>-121578</v>
      </c>
      <c r="J155" s="457">
        <v>-60708</v>
      </c>
      <c r="K155" s="457">
        <v>-109263</v>
      </c>
      <c r="L155" s="457">
        <v>-44739</v>
      </c>
      <c r="M155" s="199">
        <v>-95846</v>
      </c>
      <c r="N155" s="192"/>
      <c r="O155" s="192"/>
    </row>
    <row r="156" spans="1:15">
      <c r="A156" s="131" t="s">
        <v>377</v>
      </c>
      <c r="B156" s="223">
        <v>0</v>
      </c>
      <c r="C156" s="223">
        <v>848200</v>
      </c>
      <c r="D156" s="457">
        <v>0</v>
      </c>
      <c r="E156" s="457">
        <v>3300000</v>
      </c>
      <c r="F156" s="457">
        <v>150000</v>
      </c>
      <c r="G156" s="457">
        <v>0</v>
      </c>
      <c r="H156" s="457">
        <v>0</v>
      </c>
      <c r="I156" s="457">
        <v>0</v>
      </c>
      <c r="J156" s="457">
        <v>1000000</v>
      </c>
      <c r="K156" s="457">
        <v>2653234</v>
      </c>
      <c r="L156" s="457">
        <v>0</v>
      </c>
      <c r="M156" s="199">
        <v>310000</v>
      </c>
      <c r="N156" s="192"/>
      <c r="O156" s="192"/>
    </row>
    <row r="157" spans="1:15">
      <c r="A157" s="131" t="s">
        <v>647</v>
      </c>
      <c r="B157" s="223">
        <v>-41308</v>
      </c>
      <c r="C157" s="223">
        <v>-567384</v>
      </c>
      <c r="D157" s="457">
        <v>0</v>
      </c>
      <c r="E157" s="457">
        <v>0</v>
      </c>
      <c r="F157" s="457">
        <v>0</v>
      </c>
      <c r="G157" s="457">
        <v>0</v>
      </c>
      <c r="H157" s="457">
        <v>0</v>
      </c>
      <c r="I157" s="457">
        <v>0</v>
      </c>
      <c r="J157" s="457">
        <v>-300000</v>
      </c>
      <c r="K157" s="457">
        <v>-848200</v>
      </c>
      <c r="L157" s="457">
        <v>-150000</v>
      </c>
      <c r="M157" s="199">
        <v>-300000</v>
      </c>
      <c r="N157" s="192"/>
      <c r="O157" s="192"/>
    </row>
    <row r="158" spans="1:15" ht="26.25">
      <c r="A158" s="185" t="s">
        <v>648</v>
      </c>
      <c r="B158" s="223">
        <v>0</v>
      </c>
      <c r="C158" s="223">
        <v>0</v>
      </c>
      <c r="D158" s="457">
        <v>0</v>
      </c>
      <c r="E158" s="457">
        <v>-262882</v>
      </c>
      <c r="F158" s="457">
        <v>0</v>
      </c>
      <c r="G158" s="457">
        <v>-543290</v>
      </c>
      <c r="H158" s="457">
        <v>-340680</v>
      </c>
      <c r="I158" s="457">
        <v>-9830</v>
      </c>
      <c r="J158" s="457">
        <v>0</v>
      </c>
      <c r="K158" s="457">
        <v>-332984</v>
      </c>
      <c r="L158" s="457">
        <v>0</v>
      </c>
      <c r="M158" s="199">
        <v>-262882</v>
      </c>
      <c r="N158" s="192"/>
      <c r="O158" s="192"/>
    </row>
    <row r="159" spans="1:15">
      <c r="A159" s="131" t="s">
        <v>649</v>
      </c>
      <c r="B159" s="223">
        <v>-2287</v>
      </c>
      <c r="C159" s="223">
        <v>-3286</v>
      </c>
      <c r="D159" s="457">
        <v>-10885</v>
      </c>
      <c r="E159" s="457">
        <v>-2791</v>
      </c>
      <c r="F159" s="457">
        <v>-16019</v>
      </c>
      <c r="G159" s="457">
        <v>-415</v>
      </c>
      <c r="H159" s="457">
        <v>-7236</v>
      </c>
      <c r="I159" s="457">
        <v>-811</v>
      </c>
      <c r="J159" s="457">
        <v>-990</v>
      </c>
      <c r="K159" s="457">
        <v>-243</v>
      </c>
      <c r="L159" s="457">
        <v>-1821</v>
      </c>
      <c r="M159" s="199">
        <v>-809</v>
      </c>
      <c r="N159" s="192"/>
      <c r="O159" s="192"/>
    </row>
    <row r="160" spans="1:15">
      <c r="A160" s="131" t="s">
        <v>375</v>
      </c>
      <c r="B160" s="223">
        <v>-55110</v>
      </c>
      <c r="C160" s="223">
        <v>-60710</v>
      </c>
      <c r="D160" s="457">
        <v>-28199</v>
      </c>
      <c r="E160" s="457">
        <v>-24093</v>
      </c>
      <c r="F160" s="457">
        <v>-107048</v>
      </c>
      <c r="G160" s="457">
        <v>-115041</v>
      </c>
      <c r="H160" s="457">
        <v>-85762</v>
      </c>
      <c r="I160" s="457">
        <v>-143669</v>
      </c>
      <c r="J160" s="457">
        <v>-136960</v>
      </c>
      <c r="K160" s="457">
        <v>136960</v>
      </c>
      <c r="L160" s="457">
        <v>-135386</v>
      </c>
      <c r="M160" s="199">
        <v>-140919</v>
      </c>
      <c r="N160" s="192"/>
      <c r="O160" s="192"/>
    </row>
    <row r="161" spans="1:15">
      <c r="A161" s="131" t="s">
        <v>650</v>
      </c>
      <c r="B161" s="223">
        <v>0</v>
      </c>
      <c r="C161" s="223">
        <v>-9863</v>
      </c>
      <c r="D161" s="457">
        <v>-27192</v>
      </c>
      <c r="E161" s="457">
        <v>-10608</v>
      </c>
      <c r="F161" s="457">
        <v>-4184</v>
      </c>
      <c r="G161" s="457">
        <v>-2351</v>
      </c>
      <c r="H161" s="457">
        <v>-1352</v>
      </c>
      <c r="I161" s="457">
        <v>-35669</v>
      </c>
      <c r="J161" s="457">
        <v>-125227</v>
      </c>
      <c r="K161" s="457">
        <v>-148165</v>
      </c>
      <c r="L161" s="457">
        <v>-140</v>
      </c>
      <c r="M161" s="199">
        <v>-448</v>
      </c>
      <c r="N161" s="192"/>
      <c r="O161" s="192"/>
    </row>
    <row r="162" spans="1:15">
      <c r="A162" s="131" t="s">
        <v>169</v>
      </c>
      <c r="B162" s="223">
        <v>-3429</v>
      </c>
      <c r="C162" s="223">
        <v>-4940</v>
      </c>
      <c r="D162" s="457">
        <v>-7655</v>
      </c>
      <c r="E162" s="457">
        <v>-5399</v>
      </c>
      <c r="F162" s="457">
        <v>-1734</v>
      </c>
      <c r="G162" s="457">
        <f>-9241+106083</f>
        <v>96842</v>
      </c>
      <c r="H162" s="457">
        <v>20965</v>
      </c>
      <c r="I162" s="457">
        <f>-19761+89024</f>
        <v>69263</v>
      </c>
      <c r="J162" s="457">
        <v>38655</v>
      </c>
      <c r="K162" s="457">
        <v>15664</v>
      </c>
      <c r="L162" s="457">
        <v>2232</v>
      </c>
      <c r="M162" s="199">
        <v>14492</v>
      </c>
      <c r="N162" s="192"/>
      <c r="O162" s="192"/>
    </row>
    <row r="163" spans="1:15">
      <c r="A163" s="90" t="s">
        <v>651</v>
      </c>
      <c r="B163" s="224">
        <v>-294251</v>
      </c>
      <c r="C163" s="224">
        <v>-218613</v>
      </c>
      <c r="D163" s="205">
        <v>-249241</v>
      </c>
      <c r="E163" s="205">
        <v>2764005</v>
      </c>
      <c r="F163" s="205">
        <v>465647</v>
      </c>
      <c r="G163" s="205">
        <v>-275931</v>
      </c>
      <c r="H163" s="205">
        <v>9972</v>
      </c>
      <c r="I163" s="205">
        <v>-248565</v>
      </c>
      <c r="J163" s="205">
        <v>404871</v>
      </c>
      <c r="K163" s="205">
        <v>1230878</v>
      </c>
      <c r="L163" s="205">
        <v>-337570</v>
      </c>
      <c r="M163" s="205">
        <v>-188122</v>
      </c>
      <c r="N163" s="192"/>
      <c r="O163" s="192"/>
    </row>
    <row r="164" spans="1:15" ht="26.25">
      <c r="A164" s="413" t="s">
        <v>652</v>
      </c>
      <c r="B164" s="457">
        <v>63298</v>
      </c>
      <c r="C164" s="199">
        <v>435707</v>
      </c>
      <c r="D164" s="457">
        <v>-95560</v>
      </c>
      <c r="E164" s="457">
        <v>-870284</v>
      </c>
      <c r="F164" s="457">
        <v>194474</v>
      </c>
      <c r="G164" s="457">
        <v>191364</v>
      </c>
      <c r="H164" s="457">
        <v>-43846</v>
      </c>
      <c r="I164" s="457">
        <v>-306660</v>
      </c>
      <c r="J164" s="457">
        <v>-309738</v>
      </c>
      <c r="K164" s="457">
        <v>1176661</v>
      </c>
      <c r="L164" s="457">
        <v>-529771</v>
      </c>
      <c r="M164" s="457">
        <v>-550585</v>
      </c>
      <c r="N164" s="192"/>
      <c r="O164" s="192"/>
    </row>
    <row r="165" spans="1:15">
      <c r="A165" s="131" t="s">
        <v>380</v>
      </c>
      <c r="B165" s="457">
        <v>57</v>
      </c>
      <c r="C165" s="199">
        <v>-191</v>
      </c>
      <c r="D165" s="457">
        <v>146</v>
      </c>
      <c r="E165" s="457">
        <v>-149</v>
      </c>
      <c r="F165" s="457">
        <v>122</v>
      </c>
      <c r="G165" s="457">
        <v>-1497</v>
      </c>
      <c r="H165" s="457">
        <v>-845</v>
      </c>
      <c r="I165" s="457">
        <v>-1013</v>
      </c>
      <c r="J165" s="457">
        <v>60</v>
      </c>
      <c r="K165" s="457">
        <v>-237</v>
      </c>
      <c r="L165" s="457">
        <v>314</v>
      </c>
      <c r="M165" s="457">
        <v>855</v>
      </c>
      <c r="N165" s="192"/>
      <c r="O165" s="192"/>
    </row>
    <row r="166" spans="1:15">
      <c r="A166" s="92" t="s">
        <v>381</v>
      </c>
      <c r="B166" s="457">
        <v>972655</v>
      </c>
      <c r="C166" s="457">
        <v>1035953</v>
      </c>
      <c r="D166" s="457">
        <v>1471660</v>
      </c>
      <c r="E166" s="457">
        <v>1376100</v>
      </c>
      <c r="F166" s="457">
        <v>505816</v>
      </c>
      <c r="G166" s="457">
        <v>700290</v>
      </c>
      <c r="H166" s="457">
        <v>891654</v>
      </c>
      <c r="I166" s="457">
        <v>847808</v>
      </c>
      <c r="J166" s="457">
        <v>541148</v>
      </c>
      <c r="K166" s="457">
        <v>231410</v>
      </c>
      <c r="L166" s="457">
        <v>1408071</v>
      </c>
      <c r="M166" s="457">
        <v>878300</v>
      </c>
      <c r="N166" s="192"/>
      <c r="O166" s="192"/>
    </row>
    <row r="167" spans="1:15">
      <c r="A167" s="92" t="s">
        <v>653</v>
      </c>
      <c r="B167" s="457">
        <v>1035953</v>
      </c>
      <c r="C167" s="457">
        <v>1471660</v>
      </c>
      <c r="D167" s="457">
        <v>1376100</v>
      </c>
      <c r="E167" s="457">
        <v>505816</v>
      </c>
      <c r="F167" s="457">
        <v>700290</v>
      </c>
      <c r="G167" s="457">
        <v>891654</v>
      </c>
      <c r="H167" s="457">
        <v>847808</v>
      </c>
      <c r="I167" s="457">
        <v>541148</v>
      </c>
      <c r="J167" s="457">
        <v>231410</v>
      </c>
      <c r="K167" s="457">
        <v>1408071</v>
      </c>
      <c r="L167" s="457">
        <v>878300</v>
      </c>
      <c r="M167" s="457">
        <v>327715</v>
      </c>
      <c r="N167" s="192"/>
      <c r="O167" s="192"/>
    </row>
    <row r="168" spans="1:15">
      <c r="A168" s="162" t="s">
        <v>383</v>
      </c>
      <c r="B168" s="211">
        <v>27374</v>
      </c>
      <c r="C168" s="211">
        <v>165862</v>
      </c>
      <c r="D168" s="211">
        <v>69123</v>
      </c>
      <c r="E168" s="211">
        <v>176241</v>
      </c>
      <c r="F168" s="211">
        <v>215496</v>
      </c>
      <c r="G168" s="211">
        <v>290063</v>
      </c>
      <c r="H168" s="211">
        <v>273729</v>
      </c>
      <c r="I168" s="211">
        <v>121129</v>
      </c>
      <c r="J168" s="211">
        <v>154406</v>
      </c>
      <c r="K168" s="211">
        <v>116568</v>
      </c>
      <c r="L168" s="211">
        <v>164421</v>
      </c>
      <c r="M168" s="211">
        <v>206254</v>
      </c>
      <c r="N168"/>
      <c r="O168" s="192"/>
    </row>
    <row r="170" spans="1:15" ht="29.1" customHeight="1">
      <c r="A170" s="465" t="s">
        <v>55</v>
      </c>
      <c r="B170" s="697" t="s">
        <v>655</v>
      </c>
      <c r="C170" s="698"/>
      <c r="D170" s="698"/>
      <c r="E170" s="698"/>
      <c r="F170" s="698"/>
      <c r="G170" s="698"/>
      <c r="H170" s="698"/>
      <c r="I170" s="698"/>
      <c r="J170" s="698"/>
      <c r="K170" s="698"/>
      <c r="L170" s="698"/>
      <c r="M170" s="698"/>
    </row>
    <row r="171" spans="1:15" ht="28.5" customHeight="1">
      <c r="A171" s="465" t="s">
        <v>69</v>
      </c>
      <c r="B171" s="697" t="s">
        <v>656</v>
      </c>
      <c r="C171" s="698"/>
      <c r="D171" s="698"/>
      <c r="E171" s="698"/>
      <c r="F171" s="698"/>
      <c r="G171" s="698"/>
      <c r="H171" s="698"/>
      <c r="I171" s="698"/>
      <c r="J171" s="698"/>
      <c r="K171" s="698"/>
      <c r="L171" s="698"/>
      <c r="M171" s="698"/>
    </row>
    <row r="172" spans="1:15" ht="29.45" customHeight="1">
      <c r="A172" s="465" t="s">
        <v>90</v>
      </c>
      <c r="B172" s="697" t="s">
        <v>658</v>
      </c>
      <c r="C172" s="698"/>
      <c r="D172" s="698"/>
      <c r="E172" s="698"/>
      <c r="F172" s="698"/>
      <c r="G172" s="698"/>
      <c r="H172" s="698"/>
      <c r="I172" s="698"/>
      <c r="J172" s="698"/>
      <c r="K172" s="698"/>
      <c r="L172" s="698"/>
      <c r="M172" s="698"/>
    </row>
    <row r="173" spans="1:15" ht="29.1" customHeight="1">
      <c r="A173" s="465" t="s">
        <v>91</v>
      </c>
      <c r="B173" s="720" t="s">
        <v>660</v>
      </c>
      <c r="C173" s="721"/>
      <c r="D173" s="721"/>
      <c r="E173" s="721"/>
      <c r="F173" s="721"/>
      <c r="G173" s="721"/>
      <c r="H173" s="721"/>
      <c r="I173" s="721"/>
      <c r="J173" s="721"/>
      <c r="K173" s="721"/>
      <c r="L173" s="721"/>
      <c r="M173" s="721"/>
    </row>
    <row r="174" spans="1:15" ht="28.5" customHeight="1">
      <c r="A174" s="465" t="s">
        <v>104</v>
      </c>
      <c r="B174" s="697" t="s">
        <v>661</v>
      </c>
      <c r="C174" s="698"/>
      <c r="D174" s="698"/>
      <c r="E174" s="698"/>
      <c r="F174" s="698"/>
      <c r="G174" s="698"/>
      <c r="H174" s="698"/>
      <c r="I174" s="698"/>
      <c r="J174" s="698"/>
      <c r="K174" s="698"/>
      <c r="L174" s="698"/>
      <c r="M174" s="698"/>
    </row>
    <row r="175" spans="1:15" ht="28.5" customHeight="1">
      <c r="A175" s="465" t="s">
        <v>120</v>
      </c>
      <c r="B175" s="697" t="s">
        <v>662</v>
      </c>
      <c r="C175" s="698"/>
      <c r="D175" s="698"/>
      <c r="E175" s="698"/>
      <c r="F175" s="698"/>
      <c r="G175" s="698"/>
      <c r="H175" s="698"/>
      <c r="I175" s="698"/>
      <c r="J175" s="698"/>
      <c r="K175" s="698"/>
      <c r="L175" s="466"/>
      <c r="M175" s="466"/>
    </row>
    <row r="176" spans="1:15" ht="44.1" customHeight="1">
      <c r="A176" s="467" t="s">
        <v>663</v>
      </c>
      <c r="B176" s="697" t="s">
        <v>928</v>
      </c>
      <c r="C176" s="698"/>
      <c r="D176" s="698"/>
      <c r="E176" s="698"/>
      <c r="F176" s="698"/>
      <c r="G176" s="698"/>
      <c r="H176" s="698"/>
      <c r="I176" s="698"/>
      <c r="J176" s="698"/>
      <c r="K176" s="698"/>
      <c r="L176" s="698"/>
      <c r="M176" s="698"/>
    </row>
    <row r="177" spans="1:20" ht="29.1" customHeight="1">
      <c r="A177" s="467" t="s">
        <v>664</v>
      </c>
      <c r="B177" s="697" t="s">
        <v>665</v>
      </c>
      <c r="C177" s="698"/>
      <c r="D177" s="698"/>
      <c r="E177" s="698"/>
      <c r="F177" s="698"/>
      <c r="G177" s="698"/>
      <c r="H177" s="698"/>
      <c r="I177" s="698"/>
      <c r="J177" s="698"/>
      <c r="K177" s="698"/>
      <c r="L177" s="698"/>
      <c r="M177" s="698"/>
    </row>
    <row r="179" spans="1:20" s="258" customFormat="1" ht="20.25">
      <c r="A179" s="271" t="s">
        <v>354</v>
      </c>
    </row>
    <row r="180" spans="1:20" s="258" customFormat="1" ht="38.25">
      <c r="A180" s="722" t="s">
        <v>484</v>
      </c>
      <c r="B180" s="723"/>
      <c r="C180" s="723"/>
      <c r="D180" s="723"/>
      <c r="E180" s="723"/>
      <c r="F180" s="723"/>
      <c r="G180" s="723"/>
      <c r="H180" s="723"/>
      <c r="I180" s="723"/>
      <c r="J180" s="723"/>
      <c r="K180" s="723"/>
      <c r="L180" s="723"/>
      <c r="M180" s="724"/>
      <c r="N180" s="270" t="s">
        <v>746</v>
      </c>
      <c r="O180" s="270" t="s">
        <v>713</v>
      </c>
      <c r="P180" s="270" t="s">
        <v>747</v>
      </c>
      <c r="Q180" s="270" t="s">
        <v>714</v>
      </c>
      <c r="R180" s="270" t="s">
        <v>817</v>
      </c>
      <c r="S180" s="270" t="s">
        <v>926</v>
      </c>
      <c r="T180" s="89" t="s">
        <v>978</v>
      </c>
    </row>
    <row r="181" spans="1:20">
      <c r="A181" s="705" t="s">
        <v>355</v>
      </c>
      <c r="B181" s="673"/>
      <c r="C181" s="673"/>
      <c r="D181" s="673"/>
      <c r="E181" s="673"/>
      <c r="F181" s="673"/>
      <c r="G181" s="673"/>
      <c r="H181" s="673"/>
      <c r="I181" s="673"/>
      <c r="J181" s="673"/>
      <c r="K181" s="673"/>
      <c r="L181" s="673"/>
      <c r="M181" s="701"/>
    </row>
    <row r="182" spans="1:20">
      <c r="A182" s="725" t="s">
        <v>674</v>
      </c>
      <c r="B182" s="673"/>
      <c r="C182" s="673"/>
      <c r="D182" s="673"/>
      <c r="E182" s="673"/>
      <c r="F182" s="673"/>
      <c r="G182" s="673"/>
      <c r="H182" s="673"/>
      <c r="I182" s="673"/>
      <c r="J182" s="673"/>
      <c r="K182" s="673"/>
      <c r="L182" s="673"/>
      <c r="M182" s="701"/>
      <c r="N182" s="96">
        <v>32675</v>
      </c>
      <c r="O182" s="96">
        <v>476186</v>
      </c>
      <c r="P182" s="145">
        <v>1240592</v>
      </c>
      <c r="Q182" s="145">
        <v>517060</v>
      </c>
      <c r="R182" s="145">
        <v>725367</v>
      </c>
      <c r="S182" s="145">
        <v>-220720</v>
      </c>
      <c r="T182" s="145">
        <v>875227</v>
      </c>
    </row>
    <row r="183" spans="1:20">
      <c r="A183" s="719" t="s">
        <v>675</v>
      </c>
      <c r="B183" s="673"/>
      <c r="C183" s="673"/>
      <c r="D183" s="673"/>
      <c r="E183" s="673"/>
      <c r="F183" s="673"/>
      <c r="G183" s="673"/>
      <c r="H183" s="673"/>
      <c r="I183" s="673"/>
      <c r="J183" s="673"/>
      <c r="K183" s="673"/>
      <c r="L183" s="673"/>
      <c r="M183" s="701"/>
      <c r="N183" s="96">
        <v>-59861</v>
      </c>
      <c r="O183" s="96">
        <v>-179</v>
      </c>
      <c r="P183" s="145">
        <v>-58330</v>
      </c>
      <c r="Q183" s="145">
        <v>-14720</v>
      </c>
      <c r="R183" s="145">
        <v>-45442</v>
      </c>
      <c r="S183" s="145">
        <v>-9448</v>
      </c>
      <c r="T183" s="145">
        <v>-50025</v>
      </c>
    </row>
    <row r="184" spans="1:20">
      <c r="A184" s="719" t="s">
        <v>676</v>
      </c>
      <c r="B184" s="673"/>
      <c r="C184" s="673"/>
      <c r="D184" s="673"/>
      <c r="E184" s="673"/>
      <c r="F184" s="673"/>
      <c r="G184" s="673"/>
      <c r="H184" s="673"/>
      <c r="I184" s="673"/>
      <c r="J184" s="673"/>
      <c r="K184" s="673"/>
      <c r="L184" s="673"/>
      <c r="M184" s="701"/>
      <c r="N184" s="96">
        <v>821372</v>
      </c>
      <c r="O184" s="96">
        <v>847354</v>
      </c>
      <c r="P184" s="145">
        <v>826678</v>
      </c>
      <c r="Q184" s="145">
        <v>866790</v>
      </c>
      <c r="R184" s="145">
        <v>855598</v>
      </c>
      <c r="S184" s="145">
        <v>866185</v>
      </c>
      <c r="T184" s="145">
        <v>951337</v>
      </c>
    </row>
    <row r="185" spans="1:20" ht="25.5">
      <c r="A185" s="477" t="s">
        <v>748</v>
      </c>
      <c r="B185" s="573"/>
      <c r="C185" s="573"/>
      <c r="D185" s="478"/>
      <c r="E185" s="573"/>
      <c r="F185" s="573"/>
      <c r="G185" s="573"/>
      <c r="H185" s="573"/>
      <c r="I185" s="573"/>
      <c r="J185" s="573"/>
      <c r="K185" s="573"/>
      <c r="L185" s="573"/>
      <c r="M185" s="479"/>
      <c r="N185" s="96">
        <v>699070</v>
      </c>
      <c r="O185" s="96">
        <v>168039</v>
      </c>
      <c r="P185" s="145">
        <v>33127</v>
      </c>
      <c r="Q185" s="145">
        <v>12477</v>
      </c>
      <c r="R185" s="145">
        <v>383849</v>
      </c>
      <c r="S185" s="145">
        <v>478360</v>
      </c>
      <c r="T185" s="145">
        <v>267518</v>
      </c>
    </row>
    <row r="186" spans="1:20">
      <c r="A186" s="719" t="s">
        <v>678</v>
      </c>
      <c r="B186" s="673"/>
      <c r="C186" s="673"/>
      <c r="D186" s="673"/>
      <c r="E186" s="673"/>
      <c r="F186" s="673"/>
      <c r="G186" s="673"/>
      <c r="H186" s="673"/>
      <c r="I186" s="673"/>
      <c r="J186" s="673"/>
      <c r="K186" s="673"/>
      <c r="L186" s="673"/>
      <c r="M186" s="701"/>
      <c r="N186" s="96">
        <v>126386</v>
      </c>
      <c r="O186" s="96">
        <v>123333</v>
      </c>
      <c r="P186" s="145">
        <v>99376</v>
      </c>
      <c r="Q186" s="145">
        <v>104277</v>
      </c>
      <c r="R186" s="145">
        <v>90370</v>
      </c>
      <c r="S186" s="145">
        <v>54766</v>
      </c>
      <c r="T186" s="145">
        <v>116113</v>
      </c>
    </row>
    <row r="187" spans="1:20">
      <c r="A187" s="719" t="s">
        <v>679</v>
      </c>
      <c r="B187" s="673"/>
      <c r="C187" s="673"/>
      <c r="D187" s="673"/>
      <c r="E187" s="673"/>
      <c r="F187" s="673"/>
      <c r="G187" s="673"/>
      <c r="H187" s="673"/>
      <c r="I187" s="673"/>
      <c r="J187" s="673"/>
      <c r="K187" s="673"/>
      <c r="L187" s="673"/>
      <c r="M187" s="701"/>
      <c r="N187" s="96">
        <v>10130</v>
      </c>
      <c r="O187" s="96">
        <v>-12833</v>
      </c>
      <c r="P187" s="145">
        <v>-63608</v>
      </c>
      <c r="Q187" s="145">
        <v>-74286</v>
      </c>
      <c r="R187" s="145">
        <v>124247</v>
      </c>
      <c r="S187" s="145">
        <v>-21640</v>
      </c>
      <c r="T187" s="145">
        <f>-3255-40771</f>
        <v>-44026</v>
      </c>
    </row>
    <row r="188" spans="1:20">
      <c r="A188" s="719" t="s">
        <v>362</v>
      </c>
      <c r="B188" s="673"/>
      <c r="C188" s="673"/>
      <c r="D188" s="673"/>
      <c r="E188" s="673"/>
      <c r="F188" s="673"/>
      <c r="G188" s="673"/>
      <c r="H188" s="673"/>
      <c r="I188" s="673"/>
      <c r="J188" s="673"/>
      <c r="K188" s="673"/>
      <c r="L188" s="673"/>
      <c r="M188" s="701"/>
      <c r="N188" s="96">
        <v>6786</v>
      </c>
      <c r="O188" s="96">
        <v>220549</v>
      </c>
      <c r="P188" s="145">
        <v>-68725</v>
      </c>
      <c r="Q188" s="145">
        <v>281176</v>
      </c>
      <c r="R188" s="145">
        <v>-736067</v>
      </c>
      <c r="S188" s="145">
        <v>-96475</v>
      </c>
      <c r="T188" s="145">
        <v>-742481</v>
      </c>
    </row>
    <row r="189" spans="1:20">
      <c r="A189" s="719" t="s">
        <v>363</v>
      </c>
      <c r="B189" s="727"/>
      <c r="C189" s="727"/>
      <c r="D189" s="727"/>
      <c r="E189" s="727"/>
      <c r="F189" s="727"/>
      <c r="G189" s="727"/>
      <c r="H189" s="727"/>
      <c r="I189" s="727"/>
      <c r="J189" s="727"/>
      <c r="K189" s="727"/>
      <c r="L189" s="727"/>
      <c r="M189" s="701"/>
      <c r="N189" s="96">
        <v>-219387</v>
      </c>
      <c r="O189" s="96">
        <v>-175405</v>
      </c>
      <c r="P189" s="145">
        <v>-101345</v>
      </c>
      <c r="Q189" s="145">
        <v>-41872</v>
      </c>
      <c r="R189" s="145">
        <v>-220382</v>
      </c>
      <c r="S189" s="145">
        <v>-171802</v>
      </c>
      <c r="T189" s="145">
        <v>-323533</v>
      </c>
    </row>
    <row r="190" spans="1:20" s="177" customFormat="1">
      <c r="A190" s="728" t="s">
        <v>633</v>
      </c>
      <c r="B190" s="703"/>
      <c r="C190" s="703"/>
      <c r="D190" s="703"/>
      <c r="E190" s="703"/>
      <c r="F190" s="703"/>
      <c r="G190" s="703"/>
      <c r="H190" s="703"/>
      <c r="I190" s="703"/>
      <c r="J190" s="703"/>
      <c r="K190" s="703"/>
      <c r="L190" s="703"/>
      <c r="M190" s="704"/>
      <c r="N190" s="175">
        <v>1417171</v>
      </c>
      <c r="O190" s="175">
        <v>1647044</v>
      </c>
      <c r="P190" s="269">
        <v>1907765</v>
      </c>
      <c r="Q190" s="269">
        <v>1650902</v>
      </c>
      <c r="R190" s="269">
        <v>1177540</v>
      </c>
      <c r="S190" s="269">
        <v>879226</v>
      </c>
      <c r="T190" s="269">
        <v>1050130</v>
      </c>
    </row>
    <row r="191" spans="1:20">
      <c r="A191" s="725" t="s">
        <v>365</v>
      </c>
      <c r="B191" s="673"/>
      <c r="C191" s="673"/>
      <c r="D191" s="673"/>
      <c r="E191" s="673"/>
      <c r="F191" s="673"/>
      <c r="G191" s="673"/>
      <c r="H191" s="673"/>
      <c r="I191" s="673"/>
      <c r="J191" s="673"/>
      <c r="K191" s="673"/>
      <c r="L191" s="673"/>
      <c r="M191" s="701"/>
      <c r="P191" s="145"/>
    </row>
    <row r="192" spans="1:20" ht="25.5">
      <c r="A192" s="480" t="s">
        <v>680</v>
      </c>
      <c r="B192" s="568"/>
      <c r="C192" s="568"/>
      <c r="D192" s="568"/>
      <c r="E192" s="568"/>
      <c r="F192" s="568"/>
      <c r="G192" s="568"/>
      <c r="H192" s="568"/>
      <c r="I192" s="568"/>
      <c r="J192" s="568"/>
      <c r="K192" s="568"/>
      <c r="L192" s="568"/>
      <c r="M192" s="569"/>
      <c r="N192" s="96">
        <v>-1769630</v>
      </c>
      <c r="O192" s="96">
        <v>-1746666</v>
      </c>
      <c r="P192" s="96">
        <v>-2020232</v>
      </c>
      <c r="Q192" s="96">
        <v>-1541526</v>
      </c>
      <c r="R192" s="96">
        <v>-1668896</v>
      </c>
      <c r="S192" s="96">
        <v>-1906815</v>
      </c>
      <c r="T192" s="96">
        <v>-1919658</v>
      </c>
    </row>
    <row r="193" spans="1:20">
      <c r="A193" s="719" t="s">
        <v>681</v>
      </c>
      <c r="B193" s="673"/>
      <c r="C193" s="673"/>
      <c r="D193" s="673"/>
      <c r="E193" s="673"/>
      <c r="F193" s="673"/>
      <c r="G193" s="673"/>
      <c r="H193" s="673"/>
      <c r="I193" s="673"/>
      <c r="J193" s="673"/>
      <c r="K193" s="673"/>
      <c r="L193" s="673"/>
      <c r="M193" s="701"/>
      <c r="N193" s="96">
        <v>-131077</v>
      </c>
      <c r="O193" s="232">
        <v>0</v>
      </c>
      <c r="P193" s="232">
        <v>0</v>
      </c>
      <c r="Q193" s="232">
        <v>0</v>
      </c>
      <c r="R193" s="232">
        <v>0</v>
      </c>
      <c r="S193" s="232">
        <v>0</v>
      </c>
      <c r="T193" s="232"/>
    </row>
    <row r="194" spans="1:20">
      <c r="A194" s="719" t="s">
        <v>682</v>
      </c>
      <c r="B194" s="673"/>
      <c r="C194" s="673"/>
      <c r="D194" s="673"/>
      <c r="E194" s="673"/>
      <c r="F194" s="673"/>
      <c r="G194" s="673"/>
      <c r="H194" s="673"/>
      <c r="I194" s="673"/>
      <c r="J194" s="673"/>
      <c r="K194" s="673"/>
      <c r="L194" s="673"/>
      <c r="M194" s="701"/>
      <c r="N194" s="96">
        <v>-29534</v>
      </c>
      <c r="O194" s="96">
        <v>-7087</v>
      </c>
      <c r="P194" s="96">
        <v>-5157</v>
      </c>
      <c r="Q194" s="96">
        <v>-84898</v>
      </c>
      <c r="R194" s="96">
        <v>-9362</v>
      </c>
      <c r="S194" s="96">
        <v>-20603</v>
      </c>
      <c r="T194" s="96">
        <v>-10344</v>
      </c>
    </row>
    <row r="195" spans="1:20">
      <c r="A195" s="719" t="s">
        <v>683</v>
      </c>
      <c r="B195" s="673"/>
      <c r="C195" s="673"/>
      <c r="D195" s="673"/>
      <c r="E195" s="673"/>
      <c r="F195" s="673"/>
      <c r="G195" s="673"/>
      <c r="H195" s="673"/>
      <c r="I195" s="673"/>
      <c r="J195" s="673"/>
      <c r="K195" s="673"/>
      <c r="L195" s="673"/>
      <c r="M195" s="701"/>
      <c r="N195" s="96">
        <v>-7600</v>
      </c>
      <c r="O195" s="96">
        <v>-15975</v>
      </c>
      <c r="P195" s="96">
        <v>-295992</v>
      </c>
      <c r="Q195" s="96">
        <v>-11140</v>
      </c>
      <c r="R195" s="96">
        <v>-39815</v>
      </c>
      <c r="S195" s="96">
        <v>-12295</v>
      </c>
      <c r="T195" s="96">
        <v>-10375</v>
      </c>
    </row>
    <row r="196" spans="1:20">
      <c r="A196" s="719" t="s">
        <v>684</v>
      </c>
      <c r="B196" s="673"/>
      <c r="C196" s="673"/>
      <c r="D196" s="673"/>
      <c r="E196" s="673"/>
      <c r="F196" s="673"/>
      <c r="G196" s="673"/>
      <c r="H196" s="673"/>
      <c r="I196" s="673"/>
      <c r="J196" s="673"/>
      <c r="K196" s="673"/>
      <c r="L196" s="673"/>
      <c r="M196" s="701"/>
      <c r="N196" s="232">
        <v>0</v>
      </c>
      <c r="O196" s="232">
        <v>0</v>
      </c>
      <c r="P196" s="232">
        <v>0</v>
      </c>
      <c r="Q196" s="232">
        <v>0</v>
      </c>
      <c r="R196" s="232">
        <v>0</v>
      </c>
      <c r="S196" s="232">
        <v>0</v>
      </c>
      <c r="T196" s="232">
        <v>0</v>
      </c>
    </row>
    <row r="197" spans="1:20">
      <c r="A197" s="726" t="s">
        <v>369</v>
      </c>
      <c r="B197" s="683"/>
      <c r="C197" s="683"/>
      <c r="D197" s="683"/>
      <c r="E197" s="683"/>
      <c r="F197" s="683"/>
      <c r="G197" s="683"/>
      <c r="H197" s="683"/>
      <c r="I197" s="683"/>
      <c r="J197" s="683"/>
      <c r="K197" s="683"/>
      <c r="L197" s="683"/>
      <c r="M197" s="706"/>
      <c r="N197" s="102">
        <v>-1937841</v>
      </c>
      <c r="O197" s="102">
        <v>-1769728</v>
      </c>
      <c r="P197" s="102">
        <v>-2321381</v>
      </c>
      <c r="Q197" s="102">
        <v>-1637564</v>
      </c>
      <c r="R197" s="102">
        <v>-1718073</v>
      </c>
      <c r="S197" s="102">
        <v>-1939713</v>
      </c>
      <c r="T197" s="102">
        <v>-1940377</v>
      </c>
    </row>
    <row r="198" spans="1:20" ht="25.5">
      <c r="A198" s="477" t="s">
        <v>749</v>
      </c>
      <c r="B198" s="570"/>
      <c r="C198" s="570"/>
      <c r="D198" s="470"/>
      <c r="E198" s="570"/>
      <c r="F198" s="570"/>
      <c r="G198" s="570"/>
      <c r="H198" s="570"/>
      <c r="I198" s="570"/>
      <c r="J198" s="570"/>
      <c r="K198" s="570"/>
      <c r="L198" s="570"/>
      <c r="M198" s="471"/>
      <c r="N198" s="96">
        <v>15403</v>
      </c>
      <c r="O198" s="96">
        <v>17857</v>
      </c>
      <c r="P198" s="96">
        <v>15711</v>
      </c>
      <c r="Q198" s="96">
        <v>20957</v>
      </c>
      <c r="R198" s="96">
        <v>10778</v>
      </c>
      <c r="S198" s="96">
        <v>18222</v>
      </c>
      <c r="T198" s="96">
        <v>13255</v>
      </c>
    </row>
    <row r="199" spans="1:20">
      <c r="A199" s="719" t="s">
        <v>686</v>
      </c>
      <c r="B199" s="695"/>
      <c r="C199" s="695"/>
      <c r="D199" s="695"/>
      <c r="E199" s="695"/>
      <c r="F199" s="695"/>
      <c r="G199" s="695"/>
      <c r="H199" s="695"/>
      <c r="I199" s="695"/>
      <c r="J199" s="695"/>
      <c r="K199" s="695"/>
      <c r="L199" s="695"/>
      <c r="M199" s="696"/>
      <c r="N199" s="232">
        <v>0</v>
      </c>
      <c r="O199" s="232">
        <v>0</v>
      </c>
      <c r="P199" s="232">
        <v>0</v>
      </c>
      <c r="Q199" s="232">
        <v>0</v>
      </c>
      <c r="R199" s="96">
        <v>299100</v>
      </c>
      <c r="S199" s="96">
        <v>2125</v>
      </c>
      <c r="T199" s="96">
        <v>3770</v>
      </c>
    </row>
    <row r="200" spans="1:20">
      <c r="A200" s="719" t="s">
        <v>687</v>
      </c>
      <c r="B200" s="695"/>
      <c r="C200" s="695"/>
      <c r="D200" s="695"/>
      <c r="E200" s="695"/>
      <c r="F200" s="695"/>
      <c r="G200" s="695"/>
      <c r="H200" s="695"/>
      <c r="I200" s="695"/>
      <c r="J200" s="695"/>
      <c r="K200" s="695"/>
      <c r="L200" s="695"/>
      <c r="M200" s="696"/>
      <c r="N200" s="232">
        <v>0</v>
      </c>
      <c r="O200" s="232">
        <v>0</v>
      </c>
      <c r="P200" s="232">
        <v>0</v>
      </c>
      <c r="Q200" s="232">
        <v>0</v>
      </c>
      <c r="R200" s="232">
        <v>0</v>
      </c>
      <c r="S200" s="232">
        <v>0</v>
      </c>
      <c r="T200" s="232"/>
    </row>
    <row r="201" spans="1:20">
      <c r="A201" s="719" t="s">
        <v>688</v>
      </c>
      <c r="B201" s="695"/>
      <c r="C201" s="695"/>
      <c r="D201" s="695"/>
      <c r="E201" s="695"/>
      <c r="F201" s="695"/>
      <c r="G201" s="695"/>
      <c r="H201" s="695"/>
      <c r="I201" s="695"/>
      <c r="J201" s="695"/>
      <c r="K201" s="695"/>
      <c r="L201" s="695"/>
      <c r="M201" s="696"/>
      <c r="N201" s="96">
        <v>6592</v>
      </c>
      <c r="O201" s="96">
        <v>23136</v>
      </c>
      <c r="P201" s="232">
        <v>0</v>
      </c>
      <c r="Q201" s="145">
        <v>24636</v>
      </c>
      <c r="R201" s="232">
        <v>0</v>
      </c>
      <c r="S201" s="145">
        <v>23608</v>
      </c>
      <c r="T201" s="145">
        <v>32666</v>
      </c>
    </row>
    <row r="202" spans="1:20">
      <c r="A202" s="719" t="s">
        <v>689</v>
      </c>
      <c r="B202" s="695"/>
      <c r="C202" s="695"/>
      <c r="D202" s="695"/>
      <c r="E202" s="695"/>
      <c r="F202" s="695"/>
      <c r="G202" s="695"/>
      <c r="H202" s="695"/>
      <c r="I202" s="695"/>
      <c r="J202" s="695"/>
      <c r="K202" s="695"/>
      <c r="L202" s="695"/>
      <c r="M202" s="696"/>
      <c r="N202" s="145">
        <v>11474</v>
      </c>
      <c r="O202" s="145">
        <v>5649</v>
      </c>
      <c r="P202" s="145">
        <v>7673</v>
      </c>
      <c r="Q202" s="145">
        <v>18292</v>
      </c>
      <c r="R202" s="145">
        <v>2781</v>
      </c>
      <c r="S202" s="145">
        <v>79625</v>
      </c>
      <c r="T202" s="145">
        <v>924</v>
      </c>
    </row>
    <row r="203" spans="1:20">
      <c r="A203" s="726" t="s">
        <v>371</v>
      </c>
      <c r="B203" s="683"/>
      <c r="C203" s="683"/>
      <c r="D203" s="683"/>
      <c r="E203" s="683"/>
      <c r="F203" s="683"/>
      <c r="G203" s="683"/>
      <c r="H203" s="683"/>
      <c r="I203" s="683"/>
      <c r="J203" s="683"/>
      <c r="K203" s="683"/>
      <c r="L203" s="683"/>
      <c r="M203" s="706"/>
      <c r="N203" s="259">
        <v>33469</v>
      </c>
      <c r="O203" s="259">
        <v>46642</v>
      </c>
      <c r="P203" s="259">
        <v>23384</v>
      </c>
      <c r="Q203" s="259">
        <v>63885</v>
      </c>
      <c r="R203" s="259">
        <v>312659</v>
      </c>
      <c r="S203" s="259">
        <v>123580</v>
      </c>
      <c r="T203" s="259">
        <v>50615</v>
      </c>
    </row>
    <row r="204" spans="1:20" s="177" customFormat="1">
      <c r="A204" s="728" t="s">
        <v>690</v>
      </c>
      <c r="B204" s="703"/>
      <c r="C204" s="703"/>
      <c r="D204" s="703"/>
      <c r="E204" s="703"/>
      <c r="F204" s="703"/>
      <c r="G204" s="703"/>
      <c r="H204" s="703"/>
      <c r="I204" s="703"/>
      <c r="J204" s="703"/>
      <c r="K204" s="703"/>
      <c r="L204" s="703"/>
      <c r="M204" s="704"/>
      <c r="N204" s="175">
        <v>-1904372</v>
      </c>
      <c r="O204" s="175">
        <v>-1723086</v>
      </c>
      <c r="P204" s="175">
        <v>-2297997</v>
      </c>
      <c r="Q204" s="175">
        <v>-1573679</v>
      </c>
      <c r="R204" s="175">
        <v>-1405414</v>
      </c>
      <c r="S204" s="175">
        <v>-1816133</v>
      </c>
      <c r="T204" s="175">
        <v>-1889762</v>
      </c>
    </row>
    <row r="205" spans="1:20">
      <c r="A205" s="725" t="s">
        <v>373</v>
      </c>
      <c r="B205" s="673"/>
      <c r="C205" s="673"/>
      <c r="D205" s="673"/>
      <c r="E205" s="673"/>
      <c r="F205" s="673"/>
      <c r="G205" s="673"/>
      <c r="H205" s="673"/>
      <c r="I205" s="673"/>
      <c r="J205" s="673"/>
      <c r="K205" s="673"/>
      <c r="L205" s="673"/>
      <c r="M205" s="701"/>
    </row>
    <row r="206" spans="1:20">
      <c r="A206" s="719" t="s">
        <v>687</v>
      </c>
      <c r="B206" s="695"/>
      <c r="C206" s="695"/>
      <c r="D206" s="695"/>
      <c r="E206" s="695"/>
      <c r="F206" s="695"/>
      <c r="G206" s="695"/>
      <c r="H206" s="695"/>
      <c r="I206" s="695"/>
      <c r="J206" s="695"/>
      <c r="K206" s="695"/>
      <c r="L206" s="695"/>
      <c r="M206" s="696"/>
      <c r="N206" s="96">
        <v>-2250000</v>
      </c>
      <c r="O206" s="96">
        <v>-1050000</v>
      </c>
      <c r="P206" s="96">
        <v>-300000</v>
      </c>
      <c r="Q206" s="96">
        <v>-1350000</v>
      </c>
      <c r="R206" s="232">
        <v>0</v>
      </c>
      <c r="S206" s="232">
        <v>0</v>
      </c>
      <c r="T206" s="96">
        <v>-670000</v>
      </c>
    </row>
    <row r="207" spans="1:20">
      <c r="A207" s="719" t="s">
        <v>691</v>
      </c>
      <c r="B207" s="695"/>
      <c r="C207" s="695"/>
      <c r="D207" s="695"/>
      <c r="E207" s="695"/>
      <c r="F207" s="695"/>
      <c r="G207" s="695"/>
      <c r="H207" s="695"/>
      <c r="I207" s="695"/>
      <c r="J207" s="695"/>
      <c r="K207" s="695"/>
      <c r="L207" s="695"/>
      <c r="M207" s="696"/>
      <c r="N207" s="96">
        <v>-44724</v>
      </c>
      <c r="O207" s="96">
        <v>-95607</v>
      </c>
      <c r="P207" s="96">
        <v>-44904</v>
      </c>
      <c r="Q207" s="96">
        <v>-110014</v>
      </c>
      <c r="R207" s="96">
        <v>-58539</v>
      </c>
      <c r="S207" s="96">
        <v>-110335</v>
      </c>
      <c r="T207" s="96">
        <v>-58580</v>
      </c>
    </row>
    <row r="208" spans="1:20" ht="25.5">
      <c r="A208" s="477" t="s">
        <v>692</v>
      </c>
      <c r="B208" s="570"/>
      <c r="C208" s="570"/>
      <c r="D208" s="470"/>
      <c r="E208" s="570"/>
      <c r="F208" s="570"/>
      <c r="G208" s="570"/>
      <c r="H208" s="570"/>
      <c r="I208" s="570"/>
      <c r="J208" s="570"/>
      <c r="K208" s="570"/>
      <c r="L208" s="570"/>
      <c r="M208" s="471"/>
      <c r="N208" s="232"/>
      <c r="O208" s="232">
        <v>0</v>
      </c>
      <c r="P208" s="232">
        <v>0</v>
      </c>
      <c r="Q208" s="232">
        <v>0</v>
      </c>
      <c r="R208" s="232">
        <v>0</v>
      </c>
      <c r="S208" s="232">
        <v>0</v>
      </c>
    </row>
    <row r="209" spans="1:20">
      <c r="A209" s="719" t="s">
        <v>693</v>
      </c>
      <c r="B209" s="695"/>
      <c r="C209" s="695"/>
      <c r="D209" s="695"/>
      <c r="E209" s="695"/>
      <c r="F209" s="695"/>
      <c r="G209" s="695"/>
      <c r="H209" s="695"/>
      <c r="I209" s="695"/>
      <c r="J209" s="695"/>
      <c r="K209" s="695"/>
      <c r="L209" s="695"/>
      <c r="M209" s="696"/>
      <c r="N209" s="96">
        <v>-117339</v>
      </c>
      <c r="O209" s="96">
        <v>-137777</v>
      </c>
      <c r="P209" s="96">
        <v>-65260</v>
      </c>
      <c r="Q209" s="96">
        <v>-119290</v>
      </c>
      <c r="R209" s="96">
        <v>-26745</v>
      </c>
      <c r="S209" s="96">
        <v>-133425</v>
      </c>
      <c r="T209" s="96">
        <v>-30013</v>
      </c>
    </row>
    <row r="210" spans="1:20">
      <c r="A210" s="719" t="s">
        <v>684</v>
      </c>
      <c r="B210" s="695"/>
      <c r="C210" s="695"/>
      <c r="D210" s="695"/>
      <c r="E210" s="695"/>
      <c r="F210" s="695"/>
      <c r="G210" s="695"/>
      <c r="H210" s="695"/>
      <c r="I210" s="695"/>
      <c r="J210" s="695"/>
      <c r="K210" s="695"/>
      <c r="L210" s="695"/>
      <c r="M210" s="696"/>
      <c r="N210" s="96">
        <v>-17495</v>
      </c>
      <c r="O210" s="96">
        <v>-12202</v>
      </c>
      <c r="P210" s="96">
        <v>-16528</v>
      </c>
      <c r="Q210" s="96">
        <v>-15337</v>
      </c>
      <c r="R210" s="96">
        <v>-30866</v>
      </c>
      <c r="S210" s="96">
        <v>-21342</v>
      </c>
      <c r="T210" s="96">
        <v>-42854</v>
      </c>
    </row>
    <row r="211" spans="1:20">
      <c r="A211" s="726" t="s">
        <v>369</v>
      </c>
      <c r="B211" s="683"/>
      <c r="C211" s="683"/>
      <c r="D211" s="683"/>
      <c r="E211" s="683"/>
      <c r="F211" s="683"/>
      <c r="G211" s="683"/>
      <c r="H211" s="683"/>
      <c r="I211" s="683"/>
      <c r="J211" s="683"/>
      <c r="K211" s="683"/>
      <c r="L211" s="683"/>
      <c r="M211" s="706"/>
      <c r="N211" s="123">
        <v>-2429558</v>
      </c>
      <c r="O211" s="123">
        <v>-1295586</v>
      </c>
      <c r="P211" s="123">
        <v>-426692</v>
      </c>
      <c r="Q211" s="123">
        <v>-1594641</v>
      </c>
      <c r="R211" s="123">
        <v>-116150</v>
      </c>
      <c r="S211" s="123">
        <v>-265102</v>
      </c>
      <c r="T211" s="123">
        <v>-801447</v>
      </c>
    </row>
    <row r="212" spans="1:20">
      <c r="A212" s="719" t="s">
        <v>694</v>
      </c>
      <c r="B212" s="695"/>
      <c r="C212" s="695"/>
      <c r="D212" s="695"/>
      <c r="E212" s="695"/>
      <c r="F212" s="695"/>
      <c r="G212" s="695"/>
      <c r="H212" s="695"/>
      <c r="I212" s="695"/>
      <c r="J212" s="695"/>
      <c r="K212" s="695"/>
      <c r="L212" s="695"/>
      <c r="M212" s="696"/>
      <c r="N212" s="96">
        <v>2860000</v>
      </c>
      <c r="O212" s="96">
        <v>1424607</v>
      </c>
      <c r="P212" s="96">
        <v>600000</v>
      </c>
      <c r="Q212" s="96">
        <v>2107462</v>
      </c>
      <c r="R212" s="232">
        <v>0</v>
      </c>
      <c r="S212" s="96">
        <v>1350000</v>
      </c>
      <c r="T212" s="96">
        <v>500000</v>
      </c>
    </row>
    <row r="213" spans="1:20">
      <c r="A213" s="719" t="s">
        <v>695</v>
      </c>
      <c r="B213" s="695"/>
      <c r="C213" s="695"/>
      <c r="D213" s="695"/>
      <c r="E213" s="695"/>
      <c r="F213" s="695"/>
      <c r="G213" s="695"/>
      <c r="H213" s="695"/>
      <c r="I213" s="695"/>
      <c r="J213" s="695"/>
      <c r="K213" s="695"/>
      <c r="L213" s="695"/>
      <c r="M213" s="696"/>
      <c r="N213" s="96">
        <v>916</v>
      </c>
      <c r="O213" s="96">
        <v>-2</v>
      </c>
      <c r="P213" s="232">
        <v>0</v>
      </c>
      <c r="Q213" s="232">
        <v>0</v>
      </c>
      <c r="R213" s="232">
        <v>0</v>
      </c>
      <c r="S213" s="96">
        <v>293</v>
      </c>
      <c r="T213" s="96">
        <v>1000000</v>
      </c>
    </row>
    <row r="214" spans="1:20">
      <c r="A214" s="719" t="s">
        <v>696</v>
      </c>
      <c r="B214" s="695"/>
      <c r="C214" s="695"/>
      <c r="D214" s="695"/>
      <c r="E214" s="695"/>
      <c r="F214" s="695"/>
      <c r="G214" s="695"/>
      <c r="H214" s="695"/>
      <c r="I214" s="695"/>
      <c r="J214" s="695"/>
      <c r="K214" s="695"/>
      <c r="L214" s="695"/>
      <c r="M214" s="696"/>
      <c r="N214" s="96">
        <v>22101</v>
      </c>
      <c r="O214" s="96">
        <v>7783</v>
      </c>
      <c r="P214" s="96">
        <v>558</v>
      </c>
      <c r="Q214" s="96">
        <v>72942</v>
      </c>
      <c r="R214" s="96">
        <v>7758</v>
      </c>
      <c r="S214" s="96">
        <v>94601</v>
      </c>
      <c r="T214" s="96">
        <v>17718</v>
      </c>
    </row>
    <row r="215" spans="1:20">
      <c r="A215" s="557" t="s">
        <v>922</v>
      </c>
      <c r="B215" s="571"/>
      <c r="C215" s="571"/>
      <c r="D215" s="555"/>
      <c r="E215" s="571"/>
      <c r="F215" s="571"/>
      <c r="G215" s="571"/>
      <c r="H215" s="571"/>
      <c r="I215" s="571"/>
      <c r="J215" s="571"/>
      <c r="K215" s="571"/>
      <c r="L215" s="571"/>
      <c r="M215" s="556"/>
      <c r="N215" s="232">
        <v>0</v>
      </c>
      <c r="O215" s="232">
        <v>0</v>
      </c>
      <c r="P215" s="232">
        <v>0</v>
      </c>
      <c r="Q215" s="232">
        <v>0</v>
      </c>
      <c r="R215" s="232">
        <v>0</v>
      </c>
      <c r="S215" s="275">
        <v>100000</v>
      </c>
      <c r="T215" s="275">
        <v>256925</v>
      </c>
    </row>
    <row r="216" spans="1:20">
      <c r="A216" s="726" t="s">
        <v>371</v>
      </c>
      <c r="B216" s="683"/>
      <c r="C216" s="683"/>
      <c r="D216" s="683"/>
      <c r="E216" s="683"/>
      <c r="F216" s="683"/>
      <c r="G216" s="683"/>
      <c r="H216" s="683"/>
      <c r="I216" s="683"/>
      <c r="J216" s="683"/>
      <c r="K216" s="683"/>
      <c r="L216" s="683"/>
      <c r="M216" s="706"/>
      <c r="N216" s="274">
        <v>2883017</v>
      </c>
      <c r="O216" s="275">
        <v>1432388</v>
      </c>
      <c r="P216" s="275">
        <v>600558</v>
      </c>
      <c r="Q216" s="275">
        <v>2180404</v>
      </c>
      <c r="R216" s="275">
        <v>7758</v>
      </c>
      <c r="S216" s="275">
        <v>1544894</v>
      </c>
      <c r="T216" s="275">
        <v>1774643</v>
      </c>
    </row>
    <row r="217" spans="1:20">
      <c r="A217" s="454" t="s">
        <v>651</v>
      </c>
      <c r="M217" s="261"/>
      <c r="N217" s="273">
        <v>453459</v>
      </c>
      <c r="O217" s="273">
        <v>136802</v>
      </c>
      <c r="P217" s="273">
        <v>173866</v>
      </c>
      <c r="Q217" s="273">
        <v>585763</v>
      </c>
      <c r="R217" s="273">
        <v>-108392</v>
      </c>
      <c r="S217" s="273">
        <v>1279792</v>
      </c>
      <c r="T217" s="273">
        <v>973196</v>
      </c>
    </row>
    <row r="218" spans="1:20" s="177" customFormat="1" ht="27.95" customHeight="1">
      <c r="A218" s="481" t="s">
        <v>652</v>
      </c>
      <c r="B218" s="576"/>
      <c r="C218" s="576"/>
      <c r="D218" s="482"/>
      <c r="E218" s="576"/>
      <c r="F218" s="576"/>
      <c r="G218" s="576"/>
      <c r="H218" s="576"/>
      <c r="I218" s="576"/>
      <c r="J218" s="576"/>
      <c r="K218" s="576"/>
      <c r="L218" s="576"/>
      <c r="M218" s="483"/>
      <c r="N218" s="175">
        <v>-33742</v>
      </c>
      <c r="O218" s="175">
        <v>60760</v>
      </c>
      <c r="P218" s="175">
        <v>-216366</v>
      </c>
      <c r="Q218" s="175">
        <v>662986</v>
      </c>
      <c r="R218" s="175">
        <v>-336266</v>
      </c>
      <c r="S218" s="175">
        <v>342885</v>
      </c>
      <c r="T218" s="175">
        <v>133564</v>
      </c>
    </row>
    <row r="219" spans="1:20">
      <c r="A219" s="719" t="s">
        <v>697</v>
      </c>
      <c r="B219" s="695"/>
      <c r="C219" s="695"/>
      <c r="D219" s="695"/>
      <c r="E219" s="695"/>
      <c r="F219" s="695"/>
      <c r="G219" s="695"/>
      <c r="H219" s="695"/>
      <c r="I219" s="695"/>
      <c r="J219" s="695"/>
      <c r="K219" s="695"/>
      <c r="L219" s="695"/>
      <c r="M219" s="696"/>
      <c r="N219" s="96">
        <v>879</v>
      </c>
      <c r="O219" s="96">
        <v>404</v>
      </c>
      <c r="P219" s="96">
        <v>89</v>
      </c>
      <c r="Q219" s="96">
        <v>1731</v>
      </c>
      <c r="R219" s="96">
        <v>3734</v>
      </c>
      <c r="S219" s="96">
        <v>-4156</v>
      </c>
      <c r="T219" s="96">
        <v>-1064</v>
      </c>
    </row>
    <row r="220" spans="1:20">
      <c r="A220" s="726" t="s">
        <v>381</v>
      </c>
      <c r="B220" s="683"/>
      <c r="C220" s="683"/>
      <c r="D220" s="683"/>
      <c r="E220" s="683"/>
      <c r="F220" s="683"/>
      <c r="G220" s="683"/>
      <c r="H220" s="683"/>
      <c r="I220" s="683"/>
      <c r="J220" s="683"/>
      <c r="K220" s="683"/>
      <c r="L220" s="683"/>
      <c r="M220" s="706"/>
      <c r="N220" s="96">
        <v>327715</v>
      </c>
      <c r="O220" s="96">
        <v>293973</v>
      </c>
      <c r="P220" s="96">
        <v>354733</v>
      </c>
      <c r="Q220" s="96">
        <v>138367</v>
      </c>
      <c r="R220" s="96">
        <v>801353</v>
      </c>
      <c r="S220" s="96">
        <v>465087</v>
      </c>
      <c r="T220" s="96">
        <v>807972</v>
      </c>
    </row>
    <row r="221" spans="1:20" ht="25.5">
      <c r="A221" s="484" t="s">
        <v>653</v>
      </c>
      <c r="B221" s="572"/>
      <c r="C221" s="572"/>
      <c r="D221" s="485"/>
      <c r="E221" s="572"/>
      <c r="F221" s="572"/>
      <c r="G221" s="572"/>
      <c r="H221" s="572"/>
      <c r="I221" s="572"/>
      <c r="J221" s="572"/>
      <c r="K221" s="572"/>
      <c r="L221" s="572"/>
      <c r="M221" s="486"/>
      <c r="N221" s="96">
        <v>293973</v>
      </c>
      <c r="O221" s="96">
        <v>354733</v>
      </c>
      <c r="P221" s="96">
        <v>138367</v>
      </c>
      <c r="Q221" s="96">
        <v>801353</v>
      </c>
      <c r="R221" s="96">
        <v>465087</v>
      </c>
      <c r="S221" s="96">
        <v>807972</v>
      </c>
      <c r="T221" s="96">
        <v>941536</v>
      </c>
    </row>
    <row r="222" spans="1:20" s="258" customFormat="1">
      <c r="A222" s="731" t="s">
        <v>698</v>
      </c>
      <c r="B222" s="708"/>
      <c r="C222" s="708"/>
      <c r="D222" s="708"/>
      <c r="E222" s="708"/>
      <c r="F222" s="708"/>
      <c r="G222" s="708"/>
      <c r="H222" s="708"/>
      <c r="I222" s="708"/>
      <c r="J222" s="708"/>
      <c r="K222" s="708"/>
      <c r="L222" s="708"/>
      <c r="M222" s="709"/>
      <c r="N222" s="153">
        <v>179404</v>
      </c>
      <c r="O222" s="153">
        <v>-35000</v>
      </c>
      <c r="P222" s="153">
        <v>135136</v>
      </c>
      <c r="Q222" s="498">
        <f>68828-P222</f>
        <v>-66308</v>
      </c>
      <c r="R222" s="498">
        <v>140117</v>
      </c>
      <c r="S222" s="498">
        <v>91870</v>
      </c>
      <c r="T222" s="498">
        <v>218999</v>
      </c>
    </row>
    <row r="224" spans="1:20">
      <c r="O224" s="145"/>
    </row>
  </sheetData>
  <mergeCells count="82">
    <mergeCell ref="N8:T8"/>
    <mergeCell ref="T87:T88"/>
    <mergeCell ref="T98:T99"/>
    <mergeCell ref="S98:S99"/>
    <mergeCell ref="S87:S88"/>
    <mergeCell ref="M61:P62"/>
    <mergeCell ref="Q62:V62"/>
    <mergeCell ref="R87:R88"/>
    <mergeCell ref="R98:R99"/>
    <mergeCell ref="Q98:Q99"/>
    <mergeCell ref="P87:P88"/>
    <mergeCell ref="Q87:Q88"/>
    <mergeCell ref="P98:P99"/>
    <mergeCell ref="N98:N99"/>
    <mergeCell ref="O98:O99"/>
    <mergeCell ref="N87:N88"/>
    <mergeCell ref="P19:T19"/>
    <mergeCell ref="N11:S11"/>
    <mergeCell ref="B12:M12"/>
    <mergeCell ref="B17:M18"/>
    <mergeCell ref="B13:O13"/>
    <mergeCell ref="N15:T16"/>
    <mergeCell ref="O87:O88"/>
    <mergeCell ref="N103:R103"/>
    <mergeCell ref="A222:M222"/>
    <mergeCell ref="A212:M212"/>
    <mergeCell ref="A213:M213"/>
    <mergeCell ref="A214:M214"/>
    <mergeCell ref="A216:M216"/>
    <mergeCell ref="A219:M219"/>
    <mergeCell ref="A220:M220"/>
    <mergeCell ref="A211:M211"/>
    <mergeCell ref="A199:M199"/>
    <mergeCell ref="A200:M200"/>
    <mergeCell ref="A201:M201"/>
    <mergeCell ref="A202:M202"/>
    <mergeCell ref="A205:M205"/>
    <mergeCell ref="A206:M206"/>
    <mergeCell ref="A207:M207"/>
    <mergeCell ref="A209:M209"/>
    <mergeCell ref="A210:M210"/>
    <mergeCell ref="A197:M197"/>
    <mergeCell ref="A184:M184"/>
    <mergeCell ref="A186:M186"/>
    <mergeCell ref="A187:M187"/>
    <mergeCell ref="A188:M188"/>
    <mergeCell ref="A189:M189"/>
    <mergeCell ref="A190:M190"/>
    <mergeCell ref="A191:M191"/>
    <mergeCell ref="A193:M193"/>
    <mergeCell ref="A194:M194"/>
    <mergeCell ref="A195:M195"/>
    <mergeCell ref="A196:M196"/>
    <mergeCell ref="A203:M203"/>
    <mergeCell ref="A204:M204"/>
    <mergeCell ref="A183:M183"/>
    <mergeCell ref="B109:M109"/>
    <mergeCell ref="B170:M170"/>
    <mergeCell ref="B171:M171"/>
    <mergeCell ref="B172:M172"/>
    <mergeCell ref="B173:M173"/>
    <mergeCell ref="B174:M174"/>
    <mergeCell ref="B176:M176"/>
    <mergeCell ref="B177:M177"/>
    <mergeCell ref="A180:M180"/>
    <mergeCell ref="A181:M181"/>
    <mergeCell ref="A182:M182"/>
    <mergeCell ref="B175:K175"/>
    <mergeCell ref="F105:F106"/>
    <mergeCell ref="B100:M102"/>
    <mergeCell ref="B49:B50"/>
    <mergeCell ref="C49:C50"/>
    <mergeCell ref="D49:D50"/>
    <mergeCell ref="F49:F50"/>
    <mergeCell ref="H49:H50"/>
    <mergeCell ref="F91:F92"/>
    <mergeCell ref="D91:D92"/>
    <mergeCell ref="B60:L60"/>
    <mergeCell ref="B63:L63"/>
    <mergeCell ref="B91:B92"/>
    <mergeCell ref="B105:B106"/>
    <mergeCell ref="D105:D106"/>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2"/>
  <sheetViews>
    <sheetView workbookViewId="0">
      <pane xSplit="1" ySplit="4" topLeftCell="F5" activePane="bottomRight" state="frozen"/>
      <selection activeCell="C154" sqref="C154"/>
      <selection pane="topRight" activeCell="C154" sqref="C154"/>
      <selection pane="bottomLeft" activeCell="C154" sqref="C154"/>
      <selection pane="bottomRight" activeCell="B13" sqref="B13:H13"/>
    </sheetView>
  </sheetViews>
  <sheetFormatPr defaultColWidth="12.42578125" defaultRowHeight="15"/>
  <cols>
    <col min="1" max="1" width="101.42578125" style="88" customWidth="1"/>
    <col min="2" max="5" width="21.5703125" style="88" customWidth="1"/>
    <col min="6" max="6" width="22.140625" style="88" customWidth="1"/>
    <col min="7" max="7" width="23.140625" style="88" customWidth="1"/>
    <col min="8" max="8" width="22.140625" style="88" customWidth="1"/>
    <col min="9" max="9" width="17.140625" style="88" customWidth="1"/>
    <col min="10" max="10" width="20.42578125" style="88" customWidth="1"/>
    <col min="11" max="11" width="21.5703125" style="88" customWidth="1"/>
    <col min="12" max="16384" width="12.42578125" style="88"/>
  </cols>
  <sheetData>
    <row r="1" spans="1:12" ht="20.25">
      <c r="A1" s="86" t="s">
        <v>750</v>
      </c>
      <c r="B1" s="188"/>
      <c r="C1" s="87"/>
    </row>
    <row r="2" spans="1:12">
      <c r="A2" s="135" t="s">
        <v>483</v>
      </c>
      <c r="B2" s="136"/>
      <c r="C2" s="136"/>
      <c r="D2" s="136"/>
      <c r="E2" s="136"/>
      <c r="F2" s="136"/>
      <c r="G2" s="136"/>
      <c r="H2" s="136"/>
      <c r="I2" s="136"/>
      <c r="J2" s="136"/>
      <c r="K2" s="136"/>
    </row>
    <row r="3" spans="1:12" ht="76.5">
      <c r="A3" s="460" t="s">
        <v>484</v>
      </c>
      <c r="B3" s="89" t="s">
        <v>751</v>
      </c>
      <c r="C3" s="89" t="s">
        <v>752</v>
      </c>
      <c r="D3" s="140" t="s">
        <v>753</v>
      </c>
      <c r="E3" s="89" t="s">
        <v>754</v>
      </c>
      <c r="F3" s="140" t="s">
        <v>755</v>
      </c>
      <c r="G3" s="89" t="s">
        <v>756</v>
      </c>
      <c r="H3" s="89" t="s">
        <v>757</v>
      </c>
      <c r="I3" s="89" t="s">
        <v>758</v>
      </c>
      <c r="J3" s="89" t="s">
        <v>919</v>
      </c>
      <c r="K3" s="89" t="s">
        <v>918</v>
      </c>
    </row>
    <row r="4" spans="1:12">
      <c r="A4" s="225"/>
      <c r="B4" s="141"/>
      <c r="C4" s="141"/>
      <c r="D4" s="141"/>
      <c r="E4" s="141"/>
    </row>
    <row r="5" spans="1:12">
      <c r="A5" s="107" t="s">
        <v>135</v>
      </c>
      <c r="B5" s="141">
        <v>13694622</v>
      </c>
      <c r="C5" s="141">
        <v>15428879</v>
      </c>
      <c r="D5" s="141">
        <v>20755222</v>
      </c>
      <c r="E5" s="96">
        <v>24752985</v>
      </c>
      <c r="F5" s="96">
        <v>19131122</v>
      </c>
      <c r="G5" s="96">
        <v>18440763</v>
      </c>
      <c r="H5" s="96">
        <v>18264440</v>
      </c>
      <c r="I5" s="96">
        <v>17646489</v>
      </c>
      <c r="J5" s="96">
        <v>17424551</v>
      </c>
      <c r="K5" s="96">
        <v>18121748</v>
      </c>
      <c r="L5" s="145"/>
    </row>
    <row r="6" spans="1:12">
      <c r="A6" s="131" t="s">
        <v>515</v>
      </c>
      <c r="B6" s="141">
        <v>-11521540</v>
      </c>
      <c r="C6" s="141">
        <v>-13089128</v>
      </c>
      <c r="D6" s="141">
        <v>-18174354</v>
      </c>
      <c r="E6" s="96">
        <v>-21282054</v>
      </c>
      <c r="F6" s="96">
        <v>-15990461</v>
      </c>
      <c r="G6" s="96">
        <v>-15512063</v>
      </c>
      <c r="H6" s="96">
        <v>-19028962</v>
      </c>
      <c r="I6" s="96">
        <v>-15717462</v>
      </c>
      <c r="J6" s="96">
        <v>-14512207</v>
      </c>
      <c r="K6" s="96">
        <v>-16437147</v>
      </c>
    </row>
    <row r="7" spans="1:12">
      <c r="A7" s="107" t="s">
        <v>516</v>
      </c>
      <c r="B7" s="141">
        <v>2173082</v>
      </c>
      <c r="C7" s="141">
        <v>2339751</v>
      </c>
      <c r="D7" s="141">
        <v>2580868</v>
      </c>
      <c r="E7" s="96">
        <v>3470931</v>
      </c>
      <c r="F7" s="96">
        <v>3140661</v>
      </c>
      <c r="G7" s="96">
        <v>2928700</v>
      </c>
      <c r="H7" s="96">
        <v>-764522</v>
      </c>
      <c r="I7" s="96">
        <v>1929027</v>
      </c>
      <c r="J7" s="96">
        <v>2912344</v>
      </c>
      <c r="K7" s="96">
        <v>1684601</v>
      </c>
    </row>
    <row r="8" spans="1:12">
      <c r="A8" s="131" t="s">
        <v>517</v>
      </c>
      <c r="B8" s="141">
        <v>112106</v>
      </c>
      <c r="C8" s="141">
        <v>105186</v>
      </c>
      <c r="D8" s="141">
        <v>99446</v>
      </c>
      <c r="E8" s="96">
        <v>118901</v>
      </c>
      <c r="F8" s="96">
        <v>127436</v>
      </c>
      <c r="G8" s="96">
        <v>233306</v>
      </c>
      <c r="H8" s="96">
        <v>171355</v>
      </c>
      <c r="I8" s="789" t="s">
        <v>597</v>
      </c>
      <c r="J8" s="790"/>
      <c r="K8" s="790"/>
    </row>
    <row r="9" spans="1:12">
      <c r="A9" s="131" t="s">
        <v>518</v>
      </c>
      <c r="B9" s="141">
        <v>-188182</v>
      </c>
      <c r="C9" s="141">
        <v>-231252</v>
      </c>
      <c r="D9" s="141">
        <v>-283382</v>
      </c>
      <c r="E9" s="96">
        <v>-552291</v>
      </c>
      <c r="F9" s="96">
        <v>-553502</v>
      </c>
      <c r="G9" s="96">
        <v>-549164</v>
      </c>
      <c r="H9" s="96">
        <v>-489963</v>
      </c>
      <c r="I9" s="96">
        <v>-459191</v>
      </c>
      <c r="J9" s="96">
        <v>-491629</v>
      </c>
      <c r="K9" s="96">
        <v>-477794</v>
      </c>
    </row>
    <row r="10" spans="1:12">
      <c r="A10" s="131" t="s">
        <v>296</v>
      </c>
      <c r="B10" s="141">
        <v>-621537</v>
      </c>
      <c r="C10" s="141">
        <v>-670308</v>
      </c>
      <c r="D10" s="141">
        <v>-663970</v>
      </c>
      <c r="E10" s="96">
        <v>-734754</v>
      </c>
      <c r="F10" s="96">
        <v>-645406</v>
      </c>
      <c r="G10" s="96">
        <v>-664187</v>
      </c>
      <c r="H10" s="96">
        <v>-618969</v>
      </c>
      <c r="I10" s="96">
        <v>-652827</v>
      </c>
      <c r="J10" s="96">
        <v>-610365</v>
      </c>
      <c r="K10" s="96">
        <v>-631487</v>
      </c>
    </row>
    <row r="11" spans="1:12">
      <c r="A11" s="131" t="s">
        <v>520</v>
      </c>
      <c r="B11" s="793" t="s">
        <v>521</v>
      </c>
      <c r="C11" s="794"/>
      <c r="D11" s="794"/>
      <c r="E11" s="794"/>
      <c r="F11" s="794"/>
      <c r="G11" s="794"/>
      <c r="H11" s="794"/>
      <c r="I11" s="794"/>
      <c r="J11" s="96">
        <v>73050</v>
      </c>
      <c r="K11" s="96">
        <v>54890</v>
      </c>
    </row>
    <row r="12" spans="1:12">
      <c r="A12" s="131" t="s">
        <v>519</v>
      </c>
      <c r="B12" s="141">
        <v>-154686</v>
      </c>
      <c r="C12" s="141">
        <v>-144118</v>
      </c>
      <c r="D12" s="141">
        <v>-87458</v>
      </c>
      <c r="E12" s="96">
        <v>-137658</v>
      </c>
      <c r="F12" s="96">
        <v>-135123</v>
      </c>
      <c r="G12" s="96">
        <v>-118542</v>
      </c>
      <c r="H12" s="96">
        <v>-199117</v>
      </c>
      <c r="I12" s="789" t="s">
        <v>597</v>
      </c>
      <c r="J12" s="790"/>
      <c r="K12" s="790"/>
    </row>
    <row r="13" spans="1:12">
      <c r="A13" s="131" t="s">
        <v>297</v>
      </c>
      <c r="B13" s="786" t="s">
        <v>597</v>
      </c>
      <c r="C13" s="787"/>
      <c r="D13" s="787"/>
      <c r="E13" s="787"/>
      <c r="F13" s="787"/>
      <c r="G13" s="787"/>
      <c r="H13" s="787"/>
      <c r="I13" s="96">
        <v>-15487</v>
      </c>
      <c r="J13" s="96">
        <v>-4079</v>
      </c>
      <c r="K13" s="96">
        <v>160519</v>
      </c>
    </row>
    <row r="14" spans="1:12">
      <c r="A14" s="107" t="s">
        <v>522</v>
      </c>
      <c r="B14" s="141">
        <v>1320783</v>
      </c>
      <c r="C14" s="141">
        <v>1399259</v>
      </c>
      <c r="D14" s="141">
        <v>1645504</v>
      </c>
      <c r="E14" s="96">
        <v>2165129</v>
      </c>
      <c r="F14" s="96">
        <v>1934066</v>
      </c>
      <c r="G14" s="96">
        <v>1830113</v>
      </c>
      <c r="H14" s="96">
        <v>-1901216</v>
      </c>
      <c r="I14" s="96">
        <v>801522</v>
      </c>
      <c r="J14" s="96">
        <v>1879321</v>
      </c>
      <c r="K14" s="96">
        <v>790729</v>
      </c>
    </row>
    <row r="15" spans="1:12">
      <c r="A15" s="131" t="s">
        <v>523</v>
      </c>
      <c r="B15" s="141">
        <v>113456</v>
      </c>
      <c r="C15" s="141">
        <v>92284</v>
      </c>
      <c r="D15" s="141">
        <v>115767</v>
      </c>
      <c r="E15" s="96">
        <v>131306</v>
      </c>
      <c r="F15" s="96">
        <v>99257</v>
      </c>
      <c r="G15" s="96">
        <v>86198</v>
      </c>
      <c r="H15" s="96">
        <f>73452-267</f>
        <v>73185</v>
      </c>
      <c r="I15" s="791" t="s">
        <v>920</v>
      </c>
      <c r="J15" s="792"/>
      <c r="K15" s="792"/>
      <c r="L15" s="145"/>
    </row>
    <row r="16" spans="1:12">
      <c r="A16" s="131" t="s">
        <v>524</v>
      </c>
      <c r="B16" s="141">
        <v>-208170</v>
      </c>
      <c r="C16" s="141">
        <v>-233993</v>
      </c>
      <c r="D16" s="141">
        <v>-160274</v>
      </c>
      <c r="E16" s="96">
        <v>-347124</v>
      </c>
      <c r="F16" s="96">
        <v>-346993</v>
      </c>
      <c r="G16" s="96">
        <v>-417160</v>
      </c>
      <c r="H16" s="96">
        <f>-368015+342</f>
        <v>-367673</v>
      </c>
      <c r="I16" s="792"/>
      <c r="J16" s="792"/>
      <c r="K16" s="792"/>
    </row>
    <row r="17" spans="1:12">
      <c r="A17" s="131" t="s">
        <v>300</v>
      </c>
      <c r="B17" s="788" t="s">
        <v>597</v>
      </c>
      <c r="C17" s="680"/>
      <c r="D17" s="680"/>
      <c r="E17" s="680"/>
      <c r="F17" s="680"/>
      <c r="G17" s="680"/>
      <c r="H17" s="680"/>
      <c r="I17" s="96">
        <v>-259564</v>
      </c>
      <c r="J17" s="96">
        <v>-209322</v>
      </c>
      <c r="K17" s="96">
        <v>-147372</v>
      </c>
      <c r="L17" s="145"/>
    </row>
    <row r="18" spans="1:12">
      <c r="A18" s="131" t="s">
        <v>905</v>
      </c>
      <c r="B18" s="680"/>
      <c r="C18" s="680"/>
      <c r="D18" s="680"/>
      <c r="E18" s="680"/>
      <c r="F18" s="680"/>
      <c r="G18" s="680"/>
      <c r="H18" s="680"/>
      <c r="I18" s="96">
        <v>-93137</v>
      </c>
      <c r="J18" s="96">
        <v>87653</v>
      </c>
      <c r="K18" s="96">
        <v>-138710</v>
      </c>
    </row>
    <row r="19" spans="1:12">
      <c r="A19" s="185" t="s">
        <v>520</v>
      </c>
      <c r="B19" s="146">
        <v>0</v>
      </c>
      <c r="C19" s="141">
        <v>-236</v>
      </c>
      <c r="D19" s="141">
        <v>-1046</v>
      </c>
      <c r="E19" s="96">
        <v>-1734</v>
      </c>
      <c r="F19" s="96">
        <v>-2709</v>
      </c>
      <c r="G19" s="96">
        <v>-936</v>
      </c>
      <c r="H19" s="96">
        <v>7933</v>
      </c>
      <c r="I19" s="96">
        <v>60040</v>
      </c>
      <c r="J19" s="743" t="s">
        <v>525</v>
      </c>
      <c r="K19" s="683"/>
    </row>
    <row r="20" spans="1:12">
      <c r="A20" s="107" t="s">
        <v>527</v>
      </c>
      <c r="B20" s="141">
        <v>1226069</v>
      </c>
      <c r="C20" s="141">
        <v>1257314</v>
      </c>
      <c r="D20" s="141">
        <v>1599951</v>
      </c>
      <c r="E20" s="96">
        <v>1947577</v>
      </c>
      <c r="F20" s="96">
        <v>1683621</v>
      </c>
      <c r="G20" s="96">
        <v>1498215</v>
      </c>
      <c r="H20" s="96">
        <v>-2187771</v>
      </c>
      <c r="I20" s="96">
        <v>508861</v>
      </c>
      <c r="J20" s="96">
        <v>1757652</v>
      </c>
      <c r="K20" s="96">
        <v>504647</v>
      </c>
    </row>
    <row r="21" spans="1:12">
      <c r="A21" s="131" t="s">
        <v>302</v>
      </c>
      <c r="B21" s="141">
        <v>-277906</v>
      </c>
      <c r="C21" s="141">
        <v>-265931</v>
      </c>
      <c r="D21" s="141">
        <v>-333017</v>
      </c>
      <c r="E21" s="96">
        <v>-396778</v>
      </c>
      <c r="F21" s="96">
        <v>-337136</v>
      </c>
      <c r="G21" s="96">
        <v>-312655</v>
      </c>
      <c r="H21" s="96">
        <v>383556</v>
      </c>
      <c r="I21" s="96">
        <v>-138724</v>
      </c>
      <c r="J21" s="96">
        <v>-374706</v>
      </c>
      <c r="K21" s="96">
        <v>-297602</v>
      </c>
    </row>
    <row r="22" spans="1:12">
      <c r="A22" s="113" t="s">
        <v>760</v>
      </c>
      <c r="B22" s="152">
        <v>948163</v>
      </c>
      <c r="C22" s="158">
        <v>991383</v>
      </c>
      <c r="D22" s="158">
        <v>1266934</v>
      </c>
      <c r="E22" s="96">
        <v>1550799</v>
      </c>
      <c r="F22" s="96">
        <v>1346485</v>
      </c>
      <c r="G22" s="96">
        <v>1185560</v>
      </c>
      <c r="H22" s="96">
        <v>-1804215</v>
      </c>
      <c r="I22" s="96">
        <v>370137</v>
      </c>
      <c r="J22" s="96">
        <v>1382946</v>
      </c>
      <c r="K22" s="96">
        <v>207045</v>
      </c>
    </row>
    <row r="23" spans="1:12">
      <c r="A23" s="107"/>
      <c r="B23" s="141"/>
      <c r="C23" s="164"/>
      <c r="D23" s="164"/>
      <c r="E23" s="164"/>
      <c r="F23" s="164"/>
      <c r="G23" s="164"/>
      <c r="H23" s="226"/>
      <c r="I23" s="226"/>
      <c r="J23" s="226"/>
      <c r="K23" s="226"/>
    </row>
    <row r="24" spans="1:12">
      <c r="A24" s="156" t="s">
        <v>715</v>
      </c>
      <c r="B24" s="157"/>
      <c r="C24" s="158"/>
      <c r="D24" s="158"/>
      <c r="E24" s="158"/>
    </row>
    <row r="25" spans="1:12">
      <c r="A25" s="132" t="s">
        <v>532</v>
      </c>
      <c r="B25" s="158">
        <v>24576</v>
      </c>
      <c r="C25" s="158">
        <v>1112</v>
      </c>
      <c r="D25" s="159">
        <v>0</v>
      </c>
      <c r="E25" s="96">
        <v>-189756</v>
      </c>
      <c r="F25" s="96">
        <v>33397</v>
      </c>
      <c r="G25" s="96">
        <v>-20207</v>
      </c>
      <c r="H25" s="96">
        <v>85932</v>
      </c>
      <c r="I25" s="96">
        <v>127252</v>
      </c>
      <c r="J25" s="96">
        <v>-8159</v>
      </c>
      <c r="K25" s="96">
        <v>-24297</v>
      </c>
    </row>
    <row r="26" spans="1:12" ht="26.25">
      <c r="A26" s="461" t="s">
        <v>761</v>
      </c>
      <c r="B26" s="158" t="s">
        <v>55</v>
      </c>
      <c r="C26" s="158" t="s">
        <v>55</v>
      </c>
      <c r="D26" s="158">
        <v>37149</v>
      </c>
      <c r="E26" s="96">
        <v>-221074</v>
      </c>
      <c r="F26" s="96">
        <v>21847</v>
      </c>
      <c r="G26" s="96">
        <v>-338594</v>
      </c>
      <c r="H26" s="96">
        <f>64136+387</f>
        <v>64523</v>
      </c>
      <c r="I26" s="96">
        <f>203557+1040</f>
        <v>204597</v>
      </c>
      <c r="J26" s="96">
        <v>19653</v>
      </c>
      <c r="K26" s="96">
        <v>-14830</v>
      </c>
    </row>
    <row r="27" spans="1:12">
      <c r="A27" s="132" t="s">
        <v>304</v>
      </c>
      <c r="B27" s="146">
        <v>0</v>
      </c>
      <c r="C27" s="158">
        <v>-271</v>
      </c>
      <c r="D27" s="158">
        <v>358</v>
      </c>
      <c r="E27" s="96">
        <v>-457</v>
      </c>
      <c r="F27" s="96">
        <v>-1261</v>
      </c>
      <c r="G27" s="96">
        <v>245</v>
      </c>
      <c r="H27" s="96">
        <v>595</v>
      </c>
      <c r="I27" s="96">
        <v>9991</v>
      </c>
      <c r="J27" s="96">
        <v>-2425</v>
      </c>
      <c r="K27" s="96">
        <v>7240</v>
      </c>
    </row>
    <row r="28" spans="1:12">
      <c r="A28" s="132" t="s">
        <v>306</v>
      </c>
      <c r="B28" s="146">
        <v>0</v>
      </c>
      <c r="C28" s="146">
        <v>0</v>
      </c>
      <c r="D28" s="146">
        <v>0</v>
      </c>
      <c r="E28" s="146">
        <v>0</v>
      </c>
      <c r="F28" s="146">
        <v>0</v>
      </c>
      <c r="G28" s="146">
        <v>0</v>
      </c>
      <c r="H28" s="96">
        <v>-387</v>
      </c>
      <c r="I28" s="96">
        <v>-1040</v>
      </c>
      <c r="J28" s="96">
        <v>-519</v>
      </c>
      <c r="K28" s="96">
        <v>-71</v>
      </c>
    </row>
    <row r="29" spans="1:12" ht="26.25">
      <c r="A29" s="461" t="s">
        <v>534</v>
      </c>
      <c r="B29" s="158">
        <v>-4670</v>
      </c>
      <c r="C29" s="158">
        <v>-211</v>
      </c>
      <c r="D29" s="158">
        <v>-7058</v>
      </c>
      <c r="E29" s="96">
        <v>77693</v>
      </c>
      <c r="F29" s="96">
        <f>-6345-4150</f>
        <v>-10495</v>
      </c>
      <c r="G29" s="96">
        <v>68172</v>
      </c>
      <c r="H29" s="96">
        <v>-28587</v>
      </c>
      <c r="I29" s="96">
        <v>-63052</v>
      </c>
      <c r="J29" s="96">
        <v>-2184</v>
      </c>
      <c r="K29" s="96">
        <f>4617+2819</f>
        <v>7436</v>
      </c>
    </row>
    <row r="30" spans="1:12">
      <c r="A30" s="109" t="s">
        <v>535</v>
      </c>
      <c r="B30" s="158">
        <v>19906</v>
      </c>
      <c r="C30" s="158">
        <v>630</v>
      </c>
      <c r="D30" s="158">
        <v>30449</v>
      </c>
      <c r="E30" s="96">
        <v>-333594</v>
      </c>
      <c r="F30" s="96">
        <f>SUM(F25:F29)</f>
        <v>43488</v>
      </c>
      <c r="G30" s="96">
        <v>-290384</v>
      </c>
      <c r="H30" s="96">
        <v>122076</v>
      </c>
      <c r="I30" s="96">
        <v>277748</v>
      </c>
      <c r="J30" s="96">
        <v>6366</v>
      </c>
      <c r="K30" s="145">
        <f>SUM(K25:K29)</f>
        <v>-24522</v>
      </c>
    </row>
    <row r="31" spans="1:12">
      <c r="A31" s="109" t="s">
        <v>536</v>
      </c>
      <c r="B31" s="158">
        <v>968069</v>
      </c>
      <c r="C31" s="158">
        <v>992013</v>
      </c>
      <c r="D31" s="158">
        <v>1297383</v>
      </c>
      <c r="E31" s="96">
        <v>1217205</v>
      </c>
      <c r="F31" s="96">
        <f>F22+F30</f>
        <v>1389973</v>
      </c>
      <c r="G31" s="96">
        <v>895176</v>
      </c>
      <c r="H31" s="96">
        <v>-1682139</v>
      </c>
      <c r="I31" s="96">
        <v>647885</v>
      </c>
      <c r="J31" s="96">
        <v>1389312</v>
      </c>
      <c r="K31" s="96">
        <v>182523</v>
      </c>
    </row>
    <row r="32" spans="1:12">
      <c r="A32" s="109" t="s">
        <v>762</v>
      </c>
      <c r="B32" s="158"/>
      <c r="C32" s="158"/>
      <c r="D32" s="158"/>
      <c r="E32" s="96"/>
      <c r="F32" s="96"/>
      <c r="G32" s="96"/>
      <c r="H32" s="96"/>
      <c r="I32" s="96"/>
      <c r="J32" s="96"/>
    </row>
    <row r="33" spans="1:12">
      <c r="A33" s="132" t="s">
        <v>763</v>
      </c>
      <c r="B33" s="158">
        <v>774426</v>
      </c>
      <c r="C33" s="158">
        <v>858656</v>
      </c>
      <c r="D33" s="158">
        <v>1245116</v>
      </c>
      <c r="E33" s="96">
        <v>1476392</v>
      </c>
      <c r="F33" s="96">
        <v>1308318</v>
      </c>
      <c r="G33" s="96">
        <v>1180893</v>
      </c>
      <c r="H33" s="96">
        <v>-1807317</v>
      </c>
      <c r="I33" s="96">
        <v>367468</v>
      </c>
      <c r="J33" s="96">
        <v>1380663</v>
      </c>
      <c r="K33" s="96">
        <v>204880</v>
      </c>
    </row>
    <row r="34" spans="1:12">
      <c r="A34" s="132" t="s">
        <v>311</v>
      </c>
      <c r="B34" s="158">
        <v>173737</v>
      </c>
      <c r="C34" s="158">
        <v>132727</v>
      </c>
      <c r="D34" s="158">
        <v>21818</v>
      </c>
      <c r="E34" s="96">
        <v>74407</v>
      </c>
      <c r="F34" s="96">
        <v>38167</v>
      </c>
      <c r="G34" s="96">
        <v>4667</v>
      </c>
      <c r="H34" s="96">
        <v>3102</v>
      </c>
      <c r="I34" s="96">
        <v>2669</v>
      </c>
      <c r="J34" s="96">
        <v>2283</v>
      </c>
      <c r="K34" s="96">
        <v>2165</v>
      </c>
    </row>
    <row r="35" spans="1:12">
      <c r="A35" s="109" t="s">
        <v>312</v>
      </c>
      <c r="B35" s="158"/>
      <c r="C35" s="158"/>
      <c r="D35" s="158"/>
      <c r="E35" s="96"/>
      <c r="F35" s="96"/>
      <c r="G35" s="96"/>
      <c r="H35" s="96"/>
      <c r="I35" s="96"/>
      <c r="J35" s="96"/>
    </row>
    <row r="36" spans="1:12">
      <c r="A36" s="132" t="s">
        <v>763</v>
      </c>
      <c r="B36" s="158">
        <v>791425</v>
      </c>
      <c r="C36" s="158">
        <v>859151</v>
      </c>
      <c r="D36" s="158">
        <v>1273637</v>
      </c>
      <c r="E36" s="96">
        <v>1157617</v>
      </c>
      <c r="F36" s="96">
        <v>1349123</v>
      </c>
      <c r="G36" s="96">
        <v>890879</v>
      </c>
      <c r="H36" s="96">
        <v>-1685301</v>
      </c>
      <c r="I36" s="96">
        <v>644944</v>
      </c>
      <c r="J36" s="96">
        <v>1386996</v>
      </c>
      <c r="K36" s="96">
        <v>180398</v>
      </c>
    </row>
    <row r="37" spans="1:12">
      <c r="A37" s="162" t="s">
        <v>311</v>
      </c>
      <c r="B37" s="152">
        <v>176644</v>
      </c>
      <c r="C37" s="152">
        <v>132862</v>
      </c>
      <c r="D37" s="152">
        <v>23746</v>
      </c>
      <c r="E37" s="152">
        <v>59588</v>
      </c>
      <c r="F37" s="152">
        <v>40850</v>
      </c>
      <c r="G37" s="152">
        <v>4297</v>
      </c>
      <c r="H37" s="227">
        <v>3162</v>
      </c>
      <c r="I37" s="96">
        <v>2941</v>
      </c>
      <c r="J37" s="96">
        <v>2316</v>
      </c>
      <c r="K37" s="96">
        <v>2125</v>
      </c>
    </row>
    <row r="38" spans="1:12">
      <c r="A38" s="107"/>
      <c r="B38" s="141"/>
      <c r="C38" s="141"/>
      <c r="D38" s="141"/>
      <c r="E38" s="141"/>
      <c r="F38" s="141"/>
      <c r="G38" s="164"/>
      <c r="H38" s="226"/>
      <c r="I38" s="226"/>
      <c r="J38" s="226"/>
      <c r="K38" s="226"/>
    </row>
    <row r="39" spans="1:12">
      <c r="A39" s="156" t="s">
        <v>764</v>
      </c>
      <c r="B39" s="157"/>
      <c r="C39" s="157"/>
      <c r="D39" s="157"/>
      <c r="E39" s="157"/>
      <c r="F39" s="157"/>
    </row>
    <row r="40" spans="1:12" ht="26.25">
      <c r="A40" s="463" t="s">
        <v>541</v>
      </c>
      <c r="B40" s="165">
        <v>0.5</v>
      </c>
      <c r="C40" s="165">
        <v>0.54</v>
      </c>
      <c r="D40" s="165">
        <v>0.71</v>
      </c>
      <c r="E40" s="165">
        <v>0.84</v>
      </c>
      <c r="F40" s="165">
        <v>0.75</v>
      </c>
      <c r="G40" s="165">
        <v>0.67</v>
      </c>
      <c r="H40" s="228">
        <v>-1.03</v>
      </c>
      <c r="I40" s="228">
        <v>0.20967625863103062</v>
      </c>
      <c r="J40" s="228">
        <v>0.78780261756205883</v>
      </c>
      <c r="K40" s="228">
        <v>0.1169039803964578</v>
      </c>
    </row>
    <row r="41" spans="1:12">
      <c r="A41" s="487"/>
      <c r="B41" s="145"/>
      <c r="C41" s="145"/>
      <c r="D41" s="145"/>
      <c r="E41" s="145"/>
    </row>
    <row r="42" spans="1:12" ht="15.75">
      <c r="A42" s="459" t="s">
        <v>542</v>
      </c>
      <c r="B42" s="168"/>
      <c r="C42" s="168"/>
      <c r="D42" s="168"/>
      <c r="E42" s="168"/>
      <c r="F42" s="168"/>
      <c r="G42" s="168"/>
      <c r="H42" s="168"/>
      <c r="I42" s="168"/>
      <c r="J42" s="168"/>
      <c r="K42" s="168"/>
    </row>
    <row r="43" spans="1:12" ht="51">
      <c r="A43" s="460" t="s">
        <v>484</v>
      </c>
      <c r="B43" s="89" t="s">
        <v>765</v>
      </c>
      <c r="C43" s="89" t="s">
        <v>766</v>
      </c>
      <c r="D43" s="89" t="s">
        <v>767</v>
      </c>
      <c r="E43" s="89" t="s">
        <v>768</v>
      </c>
      <c r="F43" s="89" t="s">
        <v>558</v>
      </c>
      <c r="G43" s="89" t="s">
        <v>769</v>
      </c>
      <c r="H43" s="89" t="s">
        <v>566</v>
      </c>
      <c r="I43" s="89" t="s">
        <v>770</v>
      </c>
      <c r="J43" s="89" t="s">
        <v>771</v>
      </c>
      <c r="K43" s="89" t="s">
        <v>959</v>
      </c>
    </row>
    <row r="44" spans="1:12">
      <c r="A44" s="107" t="s">
        <v>314</v>
      </c>
      <c r="B44" s="96"/>
      <c r="C44" s="96"/>
      <c r="D44" s="96"/>
      <c r="E44" s="96"/>
    </row>
    <row r="45" spans="1:12">
      <c r="A45" s="107" t="s">
        <v>315</v>
      </c>
      <c r="B45" s="96"/>
      <c r="C45" s="96"/>
      <c r="D45" s="96"/>
      <c r="E45" s="96"/>
    </row>
    <row r="46" spans="1:12">
      <c r="A46" s="107" t="s">
        <v>316</v>
      </c>
      <c r="B46" s="96">
        <v>17260573</v>
      </c>
      <c r="C46" s="96">
        <v>17524936</v>
      </c>
      <c r="D46" s="96">
        <v>21636317</v>
      </c>
      <c r="E46" s="96">
        <v>23300643</v>
      </c>
      <c r="F46" s="96">
        <v>25127639</v>
      </c>
      <c r="G46" s="96">
        <v>24850942</v>
      </c>
      <c r="H46" s="96">
        <v>24882817</v>
      </c>
      <c r="I46" s="145">
        <v>26355189</v>
      </c>
      <c r="J46" s="145">
        <v>28079886</v>
      </c>
      <c r="K46" s="145">
        <v>29406667</v>
      </c>
      <c r="L46" s="145"/>
    </row>
    <row r="47" spans="1:12">
      <c r="A47" s="107" t="s">
        <v>317</v>
      </c>
      <c r="B47" s="672" t="s">
        <v>96</v>
      </c>
      <c r="C47" s="672" t="s">
        <v>59</v>
      </c>
      <c r="D47" s="96">
        <v>247057</v>
      </c>
      <c r="E47" s="96">
        <v>247057</v>
      </c>
      <c r="F47" s="96">
        <v>247057</v>
      </c>
      <c r="G47" s="96">
        <v>195155</v>
      </c>
      <c r="H47" s="96">
        <v>92059</v>
      </c>
      <c r="I47" s="145">
        <v>40156</v>
      </c>
      <c r="J47" s="145">
        <v>40156</v>
      </c>
      <c r="K47" s="145">
        <v>26183</v>
      </c>
      <c r="L47" s="145"/>
    </row>
    <row r="48" spans="1:12">
      <c r="A48" s="107" t="s">
        <v>319</v>
      </c>
      <c r="B48" s="693"/>
      <c r="C48" s="693"/>
      <c r="D48" s="96">
        <v>1152617</v>
      </c>
      <c r="E48" s="96">
        <v>1182256</v>
      </c>
      <c r="F48" s="96">
        <v>1160005</v>
      </c>
      <c r="G48" s="96">
        <f>1604634-472500</f>
        <v>1132134</v>
      </c>
      <c r="H48" s="96">
        <f>1693605-510840</f>
        <v>1182765</v>
      </c>
      <c r="I48" s="145">
        <v>1224427</v>
      </c>
      <c r="J48" s="145">
        <v>1254077</v>
      </c>
      <c r="K48" s="145">
        <v>1287703</v>
      </c>
      <c r="L48" s="145"/>
    </row>
    <row r="49" spans="1:59">
      <c r="A49" s="107" t="s">
        <v>318</v>
      </c>
      <c r="B49" s="266" t="s">
        <v>104</v>
      </c>
      <c r="C49" s="266" t="s">
        <v>104</v>
      </c>
      <c r="D49" s="266" t="s">
        <v>104</v>
      </c>
      <c r="E49" s="265" t="s">
        <v>104</v>
      </c>
      <c r="F49" s="452" t="s">
        <v>104</v>
      </c>
      <c r="G49" s="96">
        <v>472500</v>
      </c>
      <c r="H49" s="96">
        <v>510840</v>
      </c>
      <c r="I49" s="145">
        <v>126260</v>
      </c>
      <c r="J49" s="145">
        <v>303130</v>
      </c>
      <c r="K49" s="145">
        <v>661603</v>
      </c>
      <c r="L49" s="145"/>
    </row>
    <row r="50" spans="1:59">
      <c r="A50" s="107" t="s">
        <v>320</v>
      </c>
      <c r="B50" s="92">
        <v>0</v>
      </c>
      <c r="C50" s="96">
        <v>764</v>
      </c>
      <c r="D50" s="96">
        <v>22717</v>
      </c>
      <c r="E50" s="96">
        <v>51986</v>
      </c>
      <c r="F50" s="96">
        <v>44398</v>
      </c>
      <c r="G50" s="96">
        <v>414584</v>
      </c>
      <c r="H50" s="96">
        <v>418127</v>
      </c>
      <c r="I50" s="145">
        <v>461348</v>
      </c>
      <c r="J50" s="145">
        <v>499204</v>
      </c>
      <c r="K50" s="145">
        <v>543913</v>
      </c>
      <c r="L50" s="145"/>
    </row>
    <row r="51" spans="1:59">
      <c r="A51" s="107" t="s">
        <v>322</v>
      </c>
      <c r="B51" s="96">
        <v>179746</v>
      </c>
      <c r="C51" s="96">
        <v>177452</v>
      </c>
      <c r="D51" s="96">
        <v>193067</v>
      </c>
      <c r="E51" s="96">
        <v>305444</v>
      </c>
      <c r="F51" s="96">
        <v>587166</v>
      </c>
      <c r="G51" s="96">
        <v>377383</v>
      </c>
      <c r="H51" s="96">
        <v>433018</v>
      </c>
      <c r="I51" s="145">
        <v>468091</v>
      </c>
      <c r="J51" s="145">
        <v>479121</v>
      </c>
      <c r="K51" s="145">
        <f>254677+217402</f>
        <v>472079</v>
      </c>
      <c r="L51" s="145"/>
    </row>
    <row r="52" spans="1:59">
      <c r="A52" s="107" t="s">
        <v>323</v>
      </c>
      <c r="B52" s="96">
        <v>58547</v>
      </c>
      <c r="C52" s="96">
        <v>181832</v>
      </c>
      <c r="D52" s="96">
        <v>144923</v>
      </c>
      <c r="E52" s="96">
        <v>359709</v>
      </c>
      <c r="F52" s="96">
        <v>354704</v>
      </c>
      <c r="G52" s="96">
        <v>657943</v>
      </c>
      <c r="H52" s="96">
        <v>550375</v>
      </c>
      <c r="I52" s="145">
        <v>422400</v>
      </c>
      <c r="J52" s="145">
        <v>346846</v>
      </c>
      <c r="K52" s="145">
        <v>168051</v>
      </c>
      <c r="L52" s="145"/>
    </row>
    <row r="53" spans="1:59">
      <c r="A53" s="121" t="s">
        <v>578</v>
      </c>
      <c r="B53" s="126">
        <v>152221.47021</v>
      </c>
      <c r="C53" s="126">
        <v>163063</v>
      </c>
      <c r="D53" s="126">
        <v>20079</v>
      </c>
      <c r="E53" s="126">
        <v>24135</v>
      </c>
      <c r="F53" s="126">
        <v>46039</v>
      </c>
      <c r="G53" s="126">
        <v>62108</v>
      </c>
      <c r="H53" s="126">
        <v>54184</v>
      </c>
      <c r="I53" s="126">
        <v>50382</v>
      </c>
      <c r="J53" s="126">
        <v>46122</v>
      </c>
      <c r="K53" s="126">
        <v>30105</v>
      </c>
      <c r="L53" s="145"/>
    </row>
    <row r="54" spans="1:59">
      <c r="A54" s="109"/>
      <c r="B54" s="111">
        <v>17993953.470210001</v>
      </c>
      <c r="C54" s="111">
        <v>18394387</v>
      </c>
      <c r="D54" s="111">
        <v>23416777</v>
      </c>
      <c r="E54" s="111">
        <v>25471230</v>
      </c>
      <c r="F54" s="111">
        <v>27567008</v>
      </c>
      <c r="G54" s="111">
        <v>28162749</v>
      </c>
      <c r="H54" s="111">
        <v>28124185</v>
      </c>
      <c r="I54" s="111">
        <v>29148253</v>
      </c>
      <c r="J54" s="111">
        <v>31048542</v>
      </c>
      <c r="K54" s="111">
        <v>32596304</v>
      </c>
      <c r="L54" s="145"/>
    </row>
    <row r="55" spans="1:59">
      <c r="A55" s="109" t="s">
        <v>325</v>
      </c>
      <c r="B55" s="111"/>
      <c r="C55" s="111"/>
      <c r="D55" s="111"/>
      <c r="E55" s="111"/>
      <c r="F55" s="111"/>
      <c r="L55" s="145"/>
    </row>
    <row r="56" spans="1:59">
      <c r="A56" s="109" t="s">
        <v>318</v>
      </c>
      <c r="B56" s="451">
        <v>481885</v>
      </c>
      <c r="C56" s="451">
        <v>624190</v>
      </c>
      <c r="D56" s="451">
        <v>870954</v>
      </c>
      <c r="E56" s="451">
        <v>711099</v>
      </c>
      <c r="F56" s="451">
        <v>1156550</v>
      </c>
      <c r="G56" s="111">
        <v>733048</v>
      </c>
      <c r="H56" s="111">
        <v>805388</v>
      </c>
      <c r="I56" s="111">
        <v>980348</v>
      </c>
      <c r="J56" s="111">
        <v>652260</v>
      </c>
      <c r="K56" s="111">
        <v>201663</v>
      </c>
      <c r="L56" s="145"/>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row>
    <row r="57" spans="1:59">
      <c r="A57" s="109" t="s">
        <v>326</v>
      </c>
      <c r="B57" s="111">
        <v>536201</v>
      </c>
      <c r="C57" s="111">
        <v>408560</v>
      </c>
      <c r="D57" s="111">
        <v>574790</v>
      </c>
      <c r="E57" s="111">
        <v>708282</v>
      </c>
      <c r="F57" s="111">
        <v>509224</v>
      </c>
      <c r="G57" s="111">
        <v>527596</v>
      </c>
      <c r="H57" s="111">
        <v>433279</v>
      </c>
      <c r="I57" s="111">
        <v>486120</v>
      </c>
      <c r="J57" s="111">
        <v>295463</v>
      </c>
      <c r="K57" s="111">
        <v>509801</v>
      </c>
      <c r="L57" s="145"/>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row>
    <row r="58" spans="1:59" s="256" customFormat="1">
      <c r="A58" s="109" t="s">
        <v>328</v>
      </c>
      <c r="B58" s="750" t="s">
        <v>597</v>
      </c>
      <c r="C58" s="751"/>
      <c r="D58" s="751"/>
      <c r="E58" s="751"/>
      <c r="F58" s="751"/>
      <c r="G58" s="111">
        <v>159444</v>
      </c>
      <c r="H58" s="111">
        <v>228345</v>
      </c>
      <c r="I58" s="111">
        <v>263854</v>
      </c>
      <c r="J58" s="111">
        <f>244126-2128</f>
        <v>241998</v>
      </c>
      <c r="K58" s="111">
        <v>209746</v>
      </c>
      <c r="L58" s="145"/>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row>
    <row r="59" spans="1:59">
      <c r="A59" s="109" t="s">
        <v>581</v>
      </c>
      <c r="B59" s="264">
        <v>52926</v>
      </c>
      <c r="C59" s="264">
        <v>74749</v>
      </c>
      <c r="D59" s="264">
        <v>64266</v>
      </c>
      <c r="E59" s="264">
        <v>1434</v>
      </c>
      <c r="F59" s="264">
        <v>31890</v>
      </c>
      <c r="G59" s="744" t="s">
        <v>920</v>
      </c>
      <c r="H59" s="689"/>
      <c r="I59" s="689"/>
      <c r="J59" s="111">
        <v>2128</v>
      </c>
      <c r="K59" s="111">
        <v>14497</v>
      </c>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row>
    <row r="60" spans="1:59" ht="22.5" customHeight="1">
      <c r="A60" s="109" t="s">
        <v>583</v>
      </c>
      <c r="B60" s="264">
        <v>1874996</v>
      </c>
      <c r="C60" s="264">
        <v>2273145</v>
      </c>
      <c r="D60" s="264">
        <v>2743344</v>
      </c>
      <c r="E60" s="264">
        <v>3036695</v>
      </c>
      <c r="F60" s="264">
        <v>2134641</v>
      </c>
      <c r="G60" s="745"/>
      <c r="H60" s="746"/>
      <c r="I60" s="746"/>
      <c r="J60" s="747" t="s">
        <v>920</v>
      </c>
      <c r="K60" s="748"/>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row>
    <row r="61" spans="1:59" s="256" customFormat="1">
      <c r="A61" s="109" t="s">
        <v>327</v>
      </c>
      <c r="B61" s="752" t="s">
        <v>597</v>
      </c>
      <c r="C61" s="753"/>
      <c r="D61" s="753"/>
      <c r="E61" s="753"/>
      <c r="F61" s="753"/>
      <c r="G61" s="264">
        <v>1917060</v>
      </c>
      <c r="H61" s="264">
        <v>1830033</v>
      </c>
      <c r="I61" s="264">
        <v>1894065</v>
      </c>
      <c r="J61" s="264">
        <v>2032813</v>
      </c>
      <c r="K61" s="264">
        <v>2229363</v>
      </c>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row>
    <row r="62" spans="1:59">
      <c r="A62" s="109" t="s">
        <v>322</v>
      </c>
      <c r="B62" s="264">
        <v>18753</v>
      </c>
      <c r="C62" s="264">
        <v>28193</v>
      </c>
      <c r="D62" s="264">
        <v>108024</v>
      </c>
      <c r="E62" s="264">
        <v>5422</v>
      </c>
      <c r="F62" s="264">
        <v>15878</v>
      </c>
      <c r="G62" s="264">
        <v>79648</v>
      </c>
      <c r="H62" s="264">
        <v>34334</v>
      </c>
      <c r="I62" s="264">
        <v>94753</v>
      </c>
      <c r="J62" s="264">
        <v>549598</v>
      </c>
      <c r="K62" s="264">
        <f>443033+5</f>
        <v>443038</v>
      </c>
      <c r="L62" s="111"/>
    </row>
    <row r="63" spans="1:59">
      <c r="A63" s="263" t="s">
        <v>323</v>
      </c>
      <c r="B63" s="264">
        <v>158725</v>
      </c>
      <c r="C63" s="264">
        <v>145361</v>
      </c>
      <c r="D63" s="264">
        <v>234220</v>
      </c>
      <c r="E63" s="264">
        <v>272371</v>
      </c>
      <c r="F63" s="264">
        <v>270429</v>
      </c>
      <c r="G63" s="264">
        <v>221034</v>
      </c>
      <c r="H63" s="264">
        <v>233059</v>
      </c>
      <c r="I63" s="264">
        <v>185008</v>
      </c>
      <c r="J63" s="264">
        <v>87055</v>
      </c>
      <c r="K63" s="596">
        <v>55629</v>
      </c>
      <c r="L63" s="111"/>
    </row>
    <row r="64" spans="1:59">
      <c r="A64" s="109" t="s">
        <v>329</v>
      </c>
      <c r="B64" s="111">
        <v>1032103</v>
      </c>
      <c r="C64" s="111">
        <v>1473981</v>
      </c>
      <c r="D64" s="111">
        <v>505670</v>
      </c>
      <c r="E64" s="111">
        <v>1030929</v>
      </c>
      <c r="F64" s="111">
        <v>636909</v>
      </c>
      <c r="G64" s="111">
        <v>1420909</v>
      </c>
      <c r="H64" s="111">
        <v>364912</v>
      </c>
      <c r="I64" s="111">
        <v>384881</v>
      </c>
      <c r="J64" s="111">
        <v>909249</v>
      </c>
      <c r="K64" s="111">
        <v>823724</v>
      </c>
      <c r="L64" s="111"/>
    </row>
    <row r="65" spans="1:12" ht="26.25">
      <c r="A65" s="464" t="s">
        <v>584</v>
      </c>
      <c r="B65" s="126">
        <v>5951</v>
      </c>
      <c r="C65" s="229">
        <v>4397</v>
      </c>
      <c r="D65" s="126">
        <v>8951</v>
      </c>
      <c r="E65" s="126">
        <v>36215</v>
      </c>
      <c r="F65" s="229">
        <v>33041</v>
      </c>
      <c r="G65" s="126">
        <v>1337705</v>
      </c>
      <c r="H65" s="126">
        <v>17898</v>
      </c>
      <c r="I65" s="126">
        <v>19612</v>
      </c>
      <c r="J65" s="126">
        <v>15910</v>
      </c>
      <c r="K65" s="126">
        <v>13712</v>
      </c>
      <c r="L65" s="111"/>
    </row>
    <row r="66" spans="1:12">
      <c r="A66" s="107"/>
      <c r="B66" s="96">
        <f>4155589+B65</f>
        <v>4161540</v>
      </c>
      <c r="C66" s="96">
        <f>5028179+C65</f>
        <v>5032576</v>
      </c>
      <c r="D66" s="96">
        <f>5101268+D65</f>
        <v>5110219</v>
      </c>
      <c r="E66" s="96">
        <f>5766232+E65</f>
        <v>5802447</v>
      </c>
      <c r="F66" s="96">
        <f>4755521+F65</f>
        <v>4788562</v>
      </c>
      <c r="G66" s="96">
        <v>6396444</v>
      </c>
      <c r="H66" s="96">
        <v>3947248</v>
      </c>
      <c r="I66" s="96">
        <v>4308641</v>
      </c>
      <c r="J66" s="96">
        <v>4786474</v>
      </c>
      <c r="K66" s="96">
        <v>4501173</v>
      </c>
      <c r="L66" s="111"/>
    </row>
    <row r="67" spans="1:12">
      <c r="A67" s="107"/>
      <c r="B67" s="96"/>
      <c r="C67" s="96"/>
      <c r="D67" s="96"/>
      <c r="E67" s="96"/>
      <c r="F67" s="96"/>
      <c r="G67" s="96"/>
      <c r="H67" s="96"/>
      <c r="I67" s="96"/>
      <c r="J67" s="96"/>
      <c r="L67" s="111"/>
    </row>
    <row r="68" spans="1:12">
      <c r="A68" s="90" t="s">
        <v>331</v>
      </c>
      <c r="B68" s="175">
        <v>22155493.470210001</v>
      </c>
      <c r="C68" s="175">
        <v>23426963</v>
      </c>
      <c r="D68" s="175">
        <v>28526996</v>
      </c>
      <c r="E68" s="175">
        <v>31273677</v>
      </c>
      <c r="F68" s="175">
        <v>32355570</v>
      </c>
      <c r="G68" s="175">
        <v>34559193</v>
      </c>
      <c r="H68" s="175">
        <v>32071433</v>
      </c>
      <c r="I68" s="175">
        <v>33456894</v>
      </c>
      <c r="J68" s="175">
        <v>35835016</v>
      </c>
      <c r="K68" s="175">
        <v>37097477</v>
      </c>
      <c r="L68" s="111"/>
    </row>
    <row r="69" spans="1:12">
      <c r="A69" s="107"/>
      <c r="B69" s="96"/>
      <c r="C69" s="96"/>
      <c r="D69" s="96"/>
      <c r="E69" s="96"/>
      <c r="F69" s="96"/>
      <c r="G69" s="176"/>
      <c r="H69" s="176"/>
      <c r="I69" s="176"/>
      <c r="J69" s="176"/>
      <c r="K69" s="176"/>
      <c r="L69" s="111"/>
    </row>
    <row r="70" spans="1:12">
      <c r="A70" s="156" t="s">
        <v>332</v>
      </c>
      <c r="B70" s="108"/>
      <c r="C70" s="108"/>
      <c r="D70" s="108"/>
      <c r="E70" s="108"/>
      <c r="F70" s="108"/>
      <c r="L70" s="111"/>
    </row>
    <row r="71" spans="1:12">
      <c r="A71" s="109" t="s">
        <v>585</v>
      </c>
      <c r="B71" s="111"/>
      <c r="C71" s="111"/>
      <c r="D71" s="111"/>
      <c r="E71" s="111"/>
      <c r="L71" s="111"/>
    </row>
    <row r="72" spans="1:12">
      <c r="A72" s="109" t="s">
        <v>334</v>
      </c>
      <c r="B72" s="111">
        <v>13986284</v>
      </c>
      <c r="C72" s="111">
        <v>15772945</v>
      </c>
      <c r="D72" s="111">
        <v>8762747</v>
      </c>
      <c r="E72" s="111">
        <v>8762747</v>
      </c>
      <c r="F72" s="111">
        <v>8762747</v>
      </c>
      <c r="G72" s="111">
        <v>8762747</v>
      </c>
      <c r="H72" s="111">
        <v>8762747</v>
      </c>
      <c r="I72" s="111">
        <v>8762747</v>
      </c>
      <c r="J72" s="111">
        <v>8762747</v>
      </c>
      <c r="K72" s="111">
        <v>8762747</v>
      </c>
      <c r="L72" s="111"/>
    </row>
    <row r="73" spans="1:12">
      <c r="A73" s="109" t="s">
        <v>335</v>
      </c>
      <c r="B73" s="111">
        <v>64050</v>
      </c>
      <c r="C73" s="111">
        <v>475088</v>
      </c>
      <c r="D73" s="111">
        <v>7412882</v>
      </c>
      <c r="E73" s="111">
        <v>7953021</v>
      </c>
      <c r="F73" s="111">
        <v>9037699</v>
      </c>
      <c r="G73" s="111">
        <v>10393686</v>
      </c>
      <c r="H73" s="111">
        <v>11277247</v>
      </c>
      <c r="I73" s="111">
        <v>7823339</v>
      </c>
      <c r="J73" s="111">
        <v>7657086</v>
      </c>
      <c r="K73" s="111">
        <v>8511437</v>
      </c>
      <c r="L73" s="111"/>
    </row>
    <row r="74" spans="1:12">
      <c r="A74" s="109" t="s">
        <v>336</v>
      </c>
      <c r="B74" s="111">
        <v>-766</v>
      </c>
      <c r="C74" s="179">
        <v>0</v>
      </c>
      <c r="D74" s="179">
        <v>0</v>
      </c>
      <c r="E74" s="111">
        <v>-153703</v>
      </c>
      <c r="F74" s="111">
        <v>-126651</v>
      </c>
      <c r="G74" s="111">
        <v>-143019</v>
      </c>
      <c r="H74" s="111">
        <v>-73414</v>
      </c>
      <c r="I74" s="111">
        <v>29660</v>
      </c>
      <c r="J74" s="111">
        <v>23051</v>
      </c>
      <c r="K74" s="111">
        <v>3371</v>
      </c>
      <c r="L74" s="111"/>
    </row>
    <row r="75" spans="1:12">
      <c r="A75" s="109" t="s">
        <v>304</v>
      </c>
      <c r="B75" s="179">
        <v>0</v>
      </c>
      <c r="C75" s="111">
        <v>-271</v>
      </c>
      <c r="D75" s="111">
        <v>87</v>
      </c>
      <c r="E75" s="111">
        <v>-370</v>
      </c>
      <c r="F75" s="111">
        <v>-1631</v>
      </c>
      <c r="G75" s="111">
        <v>-1386</v>
      </c>
      <c r="H75" s="111">
        <v>-791</v>
      </c>
      <c r="I75" s="111">
        <v>9200</v>
      </c>
      <c r="J75" s="111">
        <v>6776</v>
      </c>
      <c r="K75" s="111">
        <v>14016</v>
      </c>
      <c r="L75" s="111"/>
    </row>
    <row r="76" spans="1:12">
      <c r="A76" s="113" t="s">
        <v>772</v>
      </c>
      <c r="B76" s="126">
        <v>-2191001.9824599996</v>
      </c>
      <c r="C76" s="126">
        <v>-1641605</v>
      </c>
      <c r="D76" s="126">
        <v>-481414</v>
      </c>
      <c r="E76" s="126">
        <v>-255014</v>
      </c>
      <c r="F76" s="126">
        <v>-344999</v>
      </c>
      <c r="G76" s="126">
        <v>-1045580</v>
      </c>
      <c r="H76" s="126">
        <v>-3947461</v>
      </c>
      <c r="I76" s="126">
        <v>24320</v>
      </c>
      <c r="J76" s="126">
        <v>1586786</v>
      </c>
      <c r="K76" s="126">
        <v>1004253</v>
      </c>
      <c r="L76" s="111"/>
    </row>
    <row r="77" spans="1:12">
      <c r="A77" s="107"/>
      <c r="B77" s="111">
        <v>11858566.01754</v>
      </c>
      <c r="C77" s="111">
        <v>14606157</v>
      </c>
      <c r="D77" s="111">
        <v>15694302</v>
      </c>
      <c r="E77" s="111">
        <v>16306681</v>
      </c>
      <c r="F77" s="111">
        <v>17327165</v>
      </c>
      <c r="G77" s="111">
        <v>17966448</v>
      </c>
      <c r="H77" s="111">
        <v>16018328</v>
      </c>
      <c r="I77" s="111">
        <v>16649266</v>
      </c>
      <c r="J77" s="111">
        <v>18036446</v>
      </c>
      <c r="K77" s="111">
        <v>18295824</v>
      </c>
      <c r="L77" s="111"/>
    </row>
    <row r="78" spans="1:12">
      <c r="A78" s="107"/>
      <c r="B78" s="96"/>
      <c r="C78" s="96"/>
      <c r="D78" s="96"/>
      <c r="E78" s="96"/>
      <c r="F78" s="96"/>
      <c r="G78" s="96"/>
      <c r="H78" s="96"/>
      <c r="I78" s="145"/>
      <c r="L78" s="111"/>
    </row>
    <row r="79" spans="1:12">
      <c r="A79" s="107" t="s">
        <v>338</v>
      </c>
      <c r="B79" s="96">
        <v>2375100.4148599999</v>
      </c>
      <c r="C79" s="96">
        <v>496279</v>
      </c>
      <c r="D79" s="96">
        <v>455203</v>
      </c>
      <c r="E79" s="96">
        <v>493339</v>
      </c>
      <c r="F79" s="96">
        <v>466334</v>
      </c>
      <c r="G79" s="96">
        <v>30116</v>
      </c>
      <c r="H79" s="96">
        <v>29829</v>
      </c>
      <c r="I79" s="145">
        <v>30052</v>
      </c>
      <c r="J79" s="145">
        <v>31367</v>
      </c>
      <c r="K79" s="145">
        <v>132657</v>
      </c>
      <c r="L79" s="111"/>
    </row>
    <row r="80" spans="1:12">
      <c r="A80" s="107"/>
      <c r="B80" s="96"/>
      <c r="C80" s="96"/>
      <c r="D80" s="96"/>
      <c r="E80" s="96"/>
      <c r="F80" s="96"/>
      <c r="G80" s="96"/>
      <c r="H80" s="96"/>
      <c r="I80" s="145"/>
      <c r="L80" s="111"/>
    </row>
    <row r="81" spans="1:12">
      <c r="A81" s="118" t="s">
        <v>339</v>
      </c>
      <c r="B81" s="176">
        <v>14233666.432399999</v>
      </c>
      <c r="C81" s="176">
        <v>15102436</v>
      </c>
      <c r="D81" s="176">
        <v>16149505</v>
      </c>
      <c r="E81" s="176">
        <v>16800020</v>
      </c>
      <c r="F81" s="176">
        <v>17793499</v>
      </c>
      <c r="G81" s="176">
        <v>17996564</v>
      </c>
      <c r="H81" s="176">
        <v>16048157</v>
      </c>
      <c r="I81" s="176">
        <v>16679318</v>
      </c>
      <c r="J81" s="176">
        <v>18067813</v>
      </c>
      <c r="K81" s="176">
        <v>18428481</v>
      </c>
      <c r="L81" s="111"/>
    </row>
    <row r="82" spans="1:12">
      <c r="A82" s="107"/>
      <c r="B82" s="96"/>
      <c r="C82" s="96"/>
      <c r="D82" s="96"/>
      <c r="E82" s="96"/>
      <c r="F82" s="96"/>
      <c r="G82" s="96"/>
      <c r="H82" s="96"/>
      <c r="I82" s="176"/>
      <c r="J82" s="176"/>
      <c r="K82" s="176"/>
      <c r="L82" s="111"/>
    </row>
    <row r="83" spans="1:12">
      <c r="A83" s="156" t="s">
        <v>340</v>
      </c>
      <c r="B83" s="108"/>
      <c r="C83" s="108"/>
      <c r="D83" s="108"/>
      <c r="E83" s="108"/>
      <c r="F83" s="108"/>
      <c r="G83" s="108"/>
      <c r="H83" s="108"/>
      <c r="L83" s="111"/>
    </row>
    <row r="84" spans="1:12">
      <c r="A84" s="109" t="s">
        <v>588</v>
      </c>
      <c r="B84" s="111">
        <v>1179406</v>
      </c>
      <c r="C84" s="111">
        <v>1076178</v>
      </c>
      <c r="D84" s="111">
        <v>4251944</v>
      </c>
      <c r="E84" s="111">
        <v>5222882</v>
      </c>
      <c r="F84" s="111">
        <v>5500532</v>
      </c>
      <c r="G84" s="111">
        <v>7422332</v>
      </c>
      <c r="H84" s="686">
        <f>4890404+33723</f>
        <v>4924127</v>
      </c>
      <c r="I84" s="749">
        <v>8759789</v>
      </c>
      <c r="J84" s="749">
        <v>9501414</v>
      </c>
      <c r="K84" s="749">
        <v>8488210</v>
      </c>
      <c r="L84" s="111"/>
    </row>
    <row r="85" spans="1:12">
      <c r="A85" s="109" t="s">
        <v>589</v>
      </c>
      <c r="B85" s="111">
        <v>88291</v>
      </c>
      <c r="C85" s="111">
        <v>67810</v>
      </c>
      <c r="D85" s="111">
        <v>56232</v>
      </c>
      <c r="E85" s="111">
        <v>41796</v>
      </c>
      <c r="F85" s="111">
        <v>61643</v>
      </c>
      <c r="G85" s="111">
        <v>46443</v>
      </c>
      <c r="H85" s="689"/>
      <c r="I85" s="677"/>
      <c r="J85" s="677"/>
      <c r="K85" s="677"/>
      <c r="L85" s="111"/>
    </row>
    <row r="86" spans="1:12" ht="26.25">
      <c r="A86" s="417" t="s">
        <v>590</v>
      </c>
      <c r="B86" s="111">
        <v>5683</v>
      </c>
      <c r="C86" s="111">
        <v>6910</v>
      </c>
      <c r="D86" s="111">
        <v>7968</v>
      </c>
      <c r="E86" s="111">
        <v>7890</v>
      </c>
      <c r="F86" s="111">
        <v>7827</v>
      </c>
      <c r="G86" s="111">
        <v>48986</v>
      </c>
      <c r="H86" s="111">
        <v>86549</v>
      </c>
      <c r="I86" s="145">
        <v>72374</v>
      </c>
      <c r="J86" s="145">
        <v>86662</v>
      </c>
      <c r="K86" s="145">
        <f>107770-K87</f>
        <v>69840</v>
      </c>
      <c r="L86" s="111"/>
    </row>
    <row r="87" spans="1:12">
      <c r="A87" s="109" t="s">
        <v>591</v>
      </c>
      <c r="B87" s="450" t="s">
        <v>69</v>
      </c>
      <c r="C87" s="179">
        <v>0</v>
      </c>
      <c r="D87" s="179">
        <v>0</v>
      </c>
      <c r="E87" s="111">
        <v>150594</v>
      </c>
      <c r="F87" s="111">
        <v>87573</v>
      </c>
      <c r="G87" s="111">
        <v>93501</v>
      </c>
      <c r="H87" s="111">
        <v>15156</v>
      </c>
      <c r="I87" s="232">
        <v>0</v>
      </c>
      <c r="J87" s="284">
        <v>5217</v>
      </c>
      <c r="K87" s="284">
        <v>37930</v>
      </c>
      <c r="L87" s="111"/>
    </row>
    <row r="88" spans="1:12">
      <c r="A88" s="109" t="s">
        <v>342</v>
      </c>
      <c r="B88" s="686" t="s">
        <v>97</v>
      </c>
      <c r="C88" s="111">
        <v>1158941</v>
      </c>
      <c r="D88" s="111">
        <v>1203375</v>
      </c>
      <c r="E88" s="111">
        <v>1568219</v>
      </c>
      <c r="F88" s="111">
        <v>1497814</v>
      </c>
      <c r="G88" s="111">
        <v>1948323</v>
      </c>
      <c r="H88" s="111">
        <v>1735206</v>
      </c>
      <c r="I88" s="145">
        <v>1373385</v>
      </c>
      <c r="J88" s="145">
        <v>1380650</v>
      </c>
      <c r="K88" s="145">
        <v>1114191</v>
      </c>
      <c r="L88" s="111"/>
    </row>
    <row r="89" spans="1:12">
      <c r="A89" s="109" t="s">
        <v>350</v>
      </c>
      <c r="B89" s="687"/>
      <c r="C89" s="111">
        <v>30861</v>
      </c>
      <c r="D89" s="111">
        <v>61200</v>
      </c>
      <c r="E89" s="111">
        <v>82523</v>
      </c>
      <c r="F89" s="111">
        <v>141408</v>
      </c>
      <c r="G89" s="111">
        <v>165278</v>
      </c>
      <c r="H89" s="111">
        <v>377372</v>
      </c>
      <c r="I89" s="145">
        <v>449310</v>
      </c>
      <c r="J89" s="145">
        <v>351138</v>
      </c>
      <c r="K89" s="145">
        <v>396513</v>
      </c>
      <c r="L89" s="111"/>
    </row>
    <row r="90" spans="1:12">
      <c r="A90" s="109" t="s">
        <v>344</v>
      </c>
      <c r="B90" s="111">
        <v>624567</v>
      </c>
      <c r="C90" s="111">
        <v>644522</v>
      </c>
      <c r="D90" s="111">
        <v>569562</v>
      </c>
      <c r="E90" s="111">
        <v>639643</v>
      </c>
      <c r="F90" s="111">
        <v>668487</v>
      </c>
      <c r="G90" s="111">
        <v>662072</v>
      </c>
      <c r="H90" s="111">
        <v>650364</v>
      </c>
      <c r="I90" s="145">
        <v>554293</v>
      </c>
      <c r="J90" s="145">
        <v>541318</v>
      </c>
      <c r="K90" s="145">
        <v>440309</v>
      </c>
      <c r="L90" s="111"/>
    </row>
    <row r="91" spans="1:12">
      <c r="A91" s="109" t="s">
        <v>592</v>
      </c>
      <c r="B91" s="111">
        <v>1150695</v>
      </c>
      <c r="C91" s="111">
        <v>1191155</v>
      </c>
      <c r="D91" s="111">
        <v>1388424</v>
      </c>
      <c r="E91" s="111">
        <v>1367687</v>
      </c>
      <c r="F91" s="111">
        <v>1339057</v>
      </c>
      <c r="G91" s="111">
        <v>1357157</v>
      </c>
      <c r="H91" s="111">
        <v>795176</v>
      </c>
      <c r="I91" s="111">
        <v>759568</v>
      </c>
      <c r="J91" s="111">
        <v>871865</v>
      </c>
      <c r="K91" s="111">
        <v>823754</v>
      </c>
      <c r="L91" s="111"/>
    </row>
    <row r="92" spans="1:12">
      <c r="A92" s="121" t="s">
        <v>351</v>
      </c>
      <c r="B92" s="167">
        <v>0</v>
      </c>
      <c r="C92" s="167">
        <v>0</v>
      </c>
      <c r="D92" s="167">
        <v>0</v>
      </c>
      <c r="E92" s="167">
        <v>0</v>
      </c>
      <c r="F92" s="167">
        <v>0</v>
      </c>
      <c r="G92" s="167">
        <v>0</v>
      </c>
      <c r="H92" s="167">
        <v>0</v>
      </c>
      <c r="I92" s="167">
        <v>0</v>
      </c>
      <c r="J92" s="126">
        <v>1588</v>
      </c>
      <c r="K92" s="126">
        <v>11507</v>
      </c>
      <c r="L92" s="111"/>
    </row>
    <row r="93" spans="1:12">
      <c r="A93" s="109"/>
      <c r="B93" s="111">
        <v>4027449</v>
      </c>
      <c r="C93" s="111">
        <v>4176377</v>
      </c>
      <c r="D93" s="111">
        <v>7538705</v>
      </c>
      <c r="E93" s="111">
        <v>9081234</v>
      </c>
      <c r="F93" s="111">
        <v>9304341</v>
      </c>
      <c r="G93" s="111">
        <v>11744092</v>
      </c>
      <c r="H93" s="111">
        <v>8583950</v>
      </c>
      <c r="I93" s="145">
        <v>11968719</v>
      </c>
      <c r="J93" s="145">
        <v>12739852</v>
      </c>
      <c r="K93" s="145">
        <v>11382254</v>
      </c>
      <c r="L93" s="111"/>
    </row>
    <row r="94" spans="1:12">
      <c r="A94" s="109" t="s">
        <v>348</v>
      </c>
      <c r="B94" s="111"/>
      <c r="C94" s="111"/>
      <c r="D94" s="111"/>
      <c r="E94" s="111"/>
      <c r="F94" s="111"/>
      <c r="I94" s="145"/>
      <c r="L94" s="111"/>
    </row>
    <row r="95" spans="1:12" ht="26.25">
      <c r="A95" s="417" t="s">
        <v>593</v>
      </c>
      <c r="B95" s="111">
        <v>596315</v>
      </c>
      <c r="C95" s="111">
        <v>325027</v>
      </c>
      <c r="D95" s="111">
        <v>214169</v>
      </c>
      <c r="E95" s="111">
        <v>286990</v>
      </c>
      <c r="F95" s="111">
        <v>284633</v>
      </c>
      <c r="G95" s="754">
        <f>631530+13461</f>
        <v>644991</v>
      </c>
      <c r="H95" s="754">
        <f>3201805+12715</f>
        <v>3214520</v>
      </c>
      <c r="I95" s="749">
        <v>219740</v>
      </c>
      <c r="J95" s="749">
        <v>351382</v>
      </c>
      <c r="K95" s="749">
        <v>2475167</v>
      </c>
      <c r="L95" s="111"/>
    </row>
    <row r="96" spans="1:12">
      <c r="A96" s="109" t="s">
        <v>773</v>
      </c>
      <c r="B96" s="111">
        <v>35377</v>
      </c>
      <c r="C96" s="111">
        <v>23452</v>
      </c>
      <c r="D96" s="111">
        <v>14761</v>
      </c>
      <c r="E96" s="111">
        <v>14482</v>
      </c>
      <c r="F96" s="111">
        <v>17327</v>
      </c>
      <c r="G96" s="677"/>
      <c r="H96" s="677"/>
      <c r="I96" s="677"/>
      <c r="J96" s="677"/>
      <c r="K96" s="677"/>
      <c r="L96" s="111"/>
    </row>
    <row r="97" spans="1:12">
      <c r="A97" s="109" t="s">
        <v>346</v>
      </c>
      <c r="B97" s="752" t="s">
        <v>597</v>
      </c>
      <c r="C97" s="753"/>
      <c r="D97" s="753"/>
      <c r="E97" s="753"/>
      <c r="F97" s="753"/>
      <c r="G97" s="264">
        <v>916744</v>
      </c>
      <c r="H97" s="264">
        <v>790706</v>
      </c>
      <c r="I97" s="264">
        <v>829729</v>
      </c>
      <c r="J97" s="264">
        <v>1042427</v>
      </c>
      <c r="K97" s="264">
        <v>1127738</v>
      </c>
      <c r="L97" s="111"/>
    </row>
    <row r="98" spans="1:12">
      <c r="A98" s="109" t="s">
        <v>349</v>
      </c>
      <c r="B98" s="753"/>
      <c r="C98" s="753"/>
      <c r="D98" s="753"/>
      <c r="E98" s="753"/>
      <c r="F98" s="753"/>
      <c r="G98" s="264">
        <v>595550</v>
      </c>
      <c r="H98" s="264">
        <v>766843</v>
      </c>
      <c r="I98" s="264">
        <v>1033804</v>
      </c>
      <c r="J98" s="264">
        <v>797304</v>
      </c>
      <c r="K98" s="264">
        <v>794917</v>
      </c>
      <c r="L98" s="111"/>
    </row>
    <row r="99" spans="1:12">
      <c r="A99" s="109" t="s">
        <v>347</v>
      </c>
      <c r="B99" s="753"/>
      <c r="C99" s="753"/>
      <c r="D99" s="753"/>
      <c r="E99" s="753"/>
      <c r="F99" s="753"/>
      <c r="G99" s="264">
        <v>354571</v>
      </c>
      <c r="H99" s="264">
        <v>243713</v>
      </c>
      <c r="I99" s="264">
        <v>255735</v>
      </c>
      <c r="J99" s="264">
        <v>284913</v>
      </c>
      <c r="K99" s="264">
        <f>773571-K101</f>
        <v>570579</v>
      </c>
      <c r="L99" s="111"/>
    </row>
    <row r="100" spans="1:12">
      <c r="A100" s="109" t="s">
        <v>774</v>
      </c>
      <c r="B100" s="264">
        <v>1490726</v>
      </c>
      <c r="C100" s="264">
        <v>1622806</v>
      </c>
      <c r="D100" s="264">
        <v>2349121</v>
      </c>
      <c r="E100" s="264">
        <v>2628449</v>
      </c>
      <c r="F100" s="264">
        <v>2023537</v>
      </c>
      <c r="G100" s="759" t="s">
        <v>775</v>
      </c>
      <c r="H100" s="673"/>
      <c r="I100" s="673"/>
      <c r="J100" s="673"/>
      <c r="K100" s="673"/>
      <c r="L100" s="111"/>
    </row>
    <row r="101" spans="1:12">
      <c r="A101" s="109" t="s">
        <v>591</v>
      </c>
      <c r="B101" s="458" t="s">
        <v>69</v>
      </c>
      <c r="C101" s="264">
        <v>6917</v>
      </c>
      <c r="D101" s="264">
        <v>80</v>
      </c>
      <c r="E101" s="264">
        <v>40624</v>
      </c>
      <c r="F101" s="264">
        <v>73358</v>
      </c>
      <c r="G101" s="264">
        <v>102615</v>
      </c>
      <c r="H101" s="264">
        <v>96953</v>
      </c>
      <c r="I101" s="267">
        <v>560</v>
      </c>
      <c r="J101" s="267">
        <v>57249</v>
      </c>
      <c r="K101" s="267">
        <v>202992</v>
      </c>
      <c r="L101" s="111"/>
    </row>
    <row r="102" spans="1:12">
      <c r="A102" s="109" t="s">
        <v>342</v>
      </c>
      <c r="B102" s="755" t="s">
        <v>98</v>
      </c>
      <c r="C102" s="264">
        <v>169492</v>
      </c>
      <c r="D102" s="264">
        <v>153676</v>
      </c>
      <c r="E102" s="264">
        <v>167704</v>
      </c>
      <c r="F102" s="264">
        <v>162368</v>
      </c>
      <c r="G102" s="264">
        <v>158954</v>
      </c>
      <c r="H102" s="264">
        <v>172505</v>
      </c>
      <c r="I102" s="267">
        <v>158228</v>
      </c>
      <c r="J102" s="267">
        <v>134273</v>
      </c>
      <c r="K102" s="267">
        <v>117287</v>
      </c>
      <c r="L102" s="111"/>
    </row>
    <row r="103" spans="1:12">
      <c r="A103" s="109" t="s">
        <v>350</v>
      </c>
      <c r="B103" s="756"/>
      <c r="C103" s="264">
        <v>989253</v>
      </c>
      <c r="D103" s="264">
        <v>1023328</v>
      </c>
      <c r="E103" s="264">
        <v>1103036</v>
      </c>
      <c r="F103" s="264">
        <v>1563019</v>
      </c>
      <c r="G103" s="264">
        <v>1081415</v>
      </c>
      <c r="H103" s="264">
        <v>1196178</v>
      </c>
      <c r="I103" s="267">
        <v>1331277</v>
      </c>
      <c r="J103" s="267">
        <v>1302217</v>
      </c>
      <c r="K103" s="267">
        <f>559365+495472</f>
        <v>1054837</v>
      </c>
      <c r="L103" s="111"/>
    </row>
    <row r="104" spans="1:12">
      <c r="A104" s="109" t="s">
        <v>344</v>
      </c>
      <c r="B104" s="264">
        <v>210267</v>
      </c>
      <c r="C104" s="264">
        <v>189712</v>
      </c>
      <c r="D104" s="264">
        <v>275147</v>
      </c>
      <c r="E104" s="264">
        <v>268870</v>
      </c>
      <c r="F104" s="264">
        <v>239639</v>
      </c>
      <c r="G104" s="264">
        <v>245520</v>
      </c>
      <c r="H104" s="264">
        <v>254337</v>
      </c>
      <c r="I104" s="267">
        <v>267662</v>
      </c>
      <c r="J104" s="267">
        <v>296576</v>
      </c>
      <c r="K104" s="267">
        <v>200097</v>
      </c>
      <c r="L104" s="111"/>
    </row>
    <row r="105" spans="1:12">
      <c r="A105" s="109" t="s">
        <v>598</v>
      </c>
      <c r="B105" s="264">
        <v>67034</v>
      </c>
      <c r="C105" s="264">
        <v>68672</v>
      </c>
      <c r="D105" s="264">
        <v>163437</v>
      </c>
      <c r="E105" s="264">
        <v>113034</v>
      </c>
      <c r="F105" s="264">
        <v>79035</v>
      </c>
      <c r="G105" s="760" t="s">
        <v>775</v>
      </c>
      <c r="H105" s="761"/>
      <c r="I105" s="761"/>
      <c r="J105" s="267">
        <v>38446</v>
      </c>
      <c r="K105" s="267">
        <v>426</v>
      </c>
      <c r="L105" s="111"/>
    </row>
    <row r="106" spans="1:12">
      <c r="A106" s="109" t="s">
        <v>599</v>
      </c>
      <c r="B106" s="757" t="s">
        <v>776</v>
      </c>
      <c r="C106" s="758"/>
      <c r="D106" s="758"/>
      <c r="E106" s="758"/>
      <c r="F106" s="758"/>
      <c r="G106" s="264">
        <v>355636</v>
      </c>
      <c r="H106" s="264">
        <v>429649</v>
      </c>
      <c r="I106" s="267">
        <v>410943</v>
      </c>
      <c r="J106" s="267">
        <f>451748-38446-1588</f>
        <v>411714</v>
      </c>
      <c r="K106" s="267">
        <v>405654</v>
      </c>
      <c r="L106" s="111"/>
    </row>
    <row r="107" spans="1:12">
      <c r="A107" s="263" t="s">
        <v>351</v>
      </c>
      <c r="B107" s="264">
        <v>556669</v>
      </c>
      <c r="C107" s="264">
        <v>752819</v>
      </c>
      <c r="D107" s="264">
        <v>645067</v>
      </c>
      <c r="E107" s="264">
        <v>769234</v>
      </c>
      <c r="F107" s="264">
        <v>814814</v>
      </c>
      <c r="G107" s="264">
        <v>277571</v>
      </c>
      <c r="H107" s="264">
        <v>273922</v>
      </c>
      <c r="I107" s="267">
        <v>301179</v>
      </c>
      <c r="J107" s="267">
        <v>310850</v>
      </c>
      <c r="K107" s="267">
        <v>337048</v>
      </c>
      <c r="L107" s="111"/>
    </row>
    <row r="108" spans="1:12" ht="26.25">
      <c r="A108" s="464" t="s">
        <v>600</v>
      </c>
      <c r="B108" s="167">
        <v>0</v>
      </c>
      <c r="C108" s="167">
        <v>0</v>
      </c>
      <c r="D108" s="167">
        <v>0</v>
      </c>
      <c r="E108" s="167">
        <v>0</v>
      </c>
      <c r="F108" s="167">
        <v>0</v>
      </c>
      <c r="G108" s="126">
        <v>84970</v>
      </c>
      <c r="H108" s="230">
        <v>0</v>
      </c>
      <c r="I108" s="230">
        <v>0</v>
      </c>
      <c r="J108" s="230">
        <v>0</v>
      </c>
      <c r="K108" s="230">
        <v>0</v>
      </c>
      <c r="L108" s="111"/>
    </row>
    <row r="109" spans="1:12">
      <c r="A109" s="107"/>
      <c r="B109" s="96">
        <v>3894378</v>
      </c>
      <c r="C109" s="96">
        <v>4148150</v>
      </c>
      <c r="D109" s="96">
        <v>4838786</v>
      </c>
      <c r="E109" s="96">
        <v>5392423</v>
      </c>
      <c r="F109" s="96">
        <v>5257730</v>
      </c>
      <c r="G109" s="96">
        <v>4818537</v>
      </c>
      <c r="H109" s="96">
        <v>7439326</v>
      </c>
      <c r="I109" s="96">
        <v>4808857</v>
      </c>
      <c r="J109" s="96">
        <v>5027351</v>
      </c>
      <c r="K109" s="96">
        <v>7286742</v>
      </c>
      <c r="L109" s="111"/>
    </row>
    <row r="110" spans="1:12">
      <c r="A110" s="107"/>
      <c r="B110" s="96"/>
      <c r="C110" s="96"/>
      <c r="D110" s="96"/>
      <c r="E110" s="96"/>
      <c r="F110" s="96"/>
      <c r="G110" s="96"/>
      <c r="H110" s="96"/>
      <c r="I110" s="145"/>
      <c r="J110" s="145"/>
      <c r="K110" s="145"/>
      <c r="L110" s="111"/>
    </row>
    <row r="111" spans="1:12">
      <c r="A111" s="118" t="s">
        <v>352</v>
      </c>
      <c r="B111" s="176">
        <v>7921827</v>
      </c>
      <c r="C111" s="176">
        <v>8324527</v>
      </c>
      <c r="D111" s="176">
        <v>12377491</v>
      </c>
      <c r="E111" s="176">
        <v>14473657</v>
      </c>
      <c r="F111" s="176">
        <v>14562071</v>
      </c>
      <c r="G111" s="176">
        <v>16562629</v>
      </c>
      <c r="H111" s="176">
        <v>16023276</v>
      </c>
      <c r="I111" s="176">
        <v>16777576</v>
      </c>
      <c r="J111" s="176">
        <v>17767203</v>
      </c>
      <c r="K111" s="176">
        <v>18668996</v>
      </c>
      <c r="L111" s="111"/>
    </row>
    <row r="112" spans="1:12">
      <c r="A112" s="107"/>
      <c r="B112" s="96"/>
      <c r="C112" s="96"/>
      <c r="D112" s="96"/>
      <c r="E112" s="96"/>
      <c r="F112" s="96"/>
      <c r="G112" s="96"/>
      <c r="H112" s="96"/>
      <c r="I112" s="145"/>
      <c r="J112" s="145"/>
      <c r="K112" s="145"/>
      <c r="L112" s="111"/>
    </row>
    <row r="113" spans="1:12">
      <c r="A113" s="90" t="s">
        <v>353</v>
      </c>
      <c r="B113" s="175">
        <v>22155493</v>
      </c>
      <c r="C113" s="175">
        <v>23426963</v>
      </c>
      <c r="D113" s="175">
        <v>28526996</v>
      </c>
      <c r="E113" s="175">
        <v>31273677</v>
      </c>
      <c r="F113" s="175">
        <v>32355570</v>
      </c>
      <c r="G113" s="175">
        <v>34559193</v>
      </c>
      <c r="H113" s="175">
        <v>32071433</v>
      </c>
      <c r="I113" s="175">
        <v>33456894</v>
      </c>
      <c r="J113" s="175">
        <v>35835016</v>
      </c>
      <c r="K113" s="175">
        <v>37097477</v>
      </c>
      <c r="L113" s="111"/>
    </row>
    <row r="114" spans="1:12">
      <c r="B114" s="145"/>
      <c r="C114" s="145"/>
      <c r="D114" s="145"/>
      <c r="E114" s="145"/>
      <c r="F114" s="145"/>
      <c r="L114" s="111"/>
    </row>
    <row r="115" spans="1:12" ht="15.75">
      <c r="A115" s="459" t="s">
        <v>354</v>
      </c>
      <c r="B115" s="183"/>
      <c r="C115" s="183"/>
      <c r="D115" s="183"/>
      <c r="E115" s="183"/>
      <c r="F115" s="183"/>
    </row>
    <row r="116" spans="1:12" ht="76.5">
      <c r="A116" s="455" t="s">
        <v>484</v>
      </c>
      <c r="B116" s="89" t="s">
        <v>777</v>
      </c>
      <c r="C116" s="89" t="s">
        <v>752</v>
      </c>
      <c r="D116" s="89" t="s">
        <v>753</v>
      </c>
      <c r="E116" s="89" t="s">
        <v>754</v>
      </c>
      <c r="F116" s="89" t="s">
        <v>755</v>
      </c>
    </row>
    <row r="117" spans="1:12">
      <c r="A117" s="106" t="s">
        <v>355</v>
      </c>
      <c r="B117" s="176"/>
      <c r="C117" s="176"/>
      <c r="D117" s="176"/>
      <c r="E117" s="176"/>
      <c r="F117" s="176"/>
    </row>
    <row r="118" spans="1:12">
      <c r="A118" s="185" t="s">
        <v>778</v>
      </c>
      <c r="B118" s="96">
        <v>1226069</v>
      </c>
      <c r="C118" s="96">
        <v>1257314</v>
      </c>
      <c r="D118" s="96">
        <v>1599951</v>
      </c>
      <c r="E118" s="96">
        <v>1947577</v>
      </c>
      <c r="F118" s="96">
        <v>1683621</v>
      </c>
    </row>
    <row r="119" spans="1:12">
      <c r="A119" s="107" t="s">
        <v>743</v>
      </c>
      <c r="B119" s="96"/>
      <c r="C119" s="96"/>
      <c r="D119" s="96"/>
      <c r="E119" s="96"/>
      <c r="F119" s="96"/>
    </row>
    <row r="120" spans="1:12">
      <c r="A120" s="185" t="s">
        <v>623</v>
      </c>
      <c r="B120" s="231">
        <v>0</v>
      </c>
      <c r="C120" s="96">
        <v>236</v>
      </c>
      <c r="D120" s="96">
        <v>1046</v>
      </c>
      <c r="E120" s="96">
        <v>1734</v>
      </c>
      <c r="F120" s="96">
        <v>2709</v>
      </c>
    </row>
    <row r="121" spans="1:12">
      <c r="A121" s="131" t="s">
        <v>358</v>
      </c>
      <c r="B121" s="96">
        <v>1321028</v>
      </c>
      <c r="C121" s="96">
        <v>1358778</v>
      </c>
      <c r="D121" s="96">
        <v>1411097</v>
      </c>
      <c r="E121" s="96">
        <v>1686204</v>
      </c>
      <c r="F121" s="96">
        <v>1727069</v>
      </c>
    </row>
    <row r="122" spans="1:12">
      <c r="A122" s="131" t="s">
        <v>779</v>
      </c>
      <c r="B122" s="96">
        <v>2963</v>
      </c>
      <c r="C122" s="96">
        <v>43</v>
      </c>
      <c r="D122" s="96">
        <v>2819</v>
      </c>
      <c r="E122" s="96">
        <v>-391</v>
      </c>
      <c r="F122" s="96">
        <v>847</v>
      </c>
    </row>
    <row r="123" spans="1:12">
      <c r="A123" s="131" t="s">
        <v>625</v>
      </c>
      <c r="B123" s="96">
        <v>94116</v>
      </c>
      <c r="C123" s="96">
        <v>132331</v>
      </c>
      <c r="D123" s="96">
        <v>58294</v>
      </c>
      <c r="E123" s="96">
        <v>225526</v>
      </c>
      <c r="F123" s="96">
        <v>220283</v>
      </c>
    </row>
    <row r="124" spans="1:12">
      <c r="A124" s="131" t="s">
        <v>626</v>
      </c>
      <c r="B124" s="96">
        <v>-54215</v>
      </c>
      <c r="C124" s="96">
        <v>13153</v>
      </c>
      <c r="D124" s="96">
        <v>-16568</v>
      </c>
      <c r="E124" s="96">
        <v>35315</v>
      </c>
      <c r="F124" s="96">
        <v>317714</v>
      </c>
    </row>
    <row r="125" spans="1:12">
      <c r="A125" s="131" t="s">
        <v>627</v>
      </c>
      <c r="B125" s="96">
        <v>-603601</v>
      </c>
      <c r="C125" s="96">
        <v>-395393</v>
      </c>
      <c r="D125" s="96">
        <v>-147945</v>
      </c>
      <c r="E125" s="96">
        <v>-291704</v>
      </c>
      <c r="F125" s="96">
        <v>924417</v>
      </c>
    </row>
    <row r="126" spans="1:12">
      <c r="A126" s="131" t="s">
        <v>628</v>
      </c>
      <c r="B126" s="96">
        <v>-193124</v>
      </c>
      <c r="C126" s="96">
        <v>117372</v>
      </c>
      <c r="D126" s="96">
        <v>-184588</v>
      </c>
      <c r="E126" s="96">
        <v>-136092</v>
      </c>
      <c r="F126" s="96">
        <v>186768</v>
      </c>
    </row>
    <row r="127" spans="1:12">
      <c r="A127" s="131" t="s">
        <v>629</v>
      </c>
      <c r="B127" s="96">
        <v>334007</v>
      </c>
      <c r="C127" s="96">
        <v>215558</v>
      </c>
      <c r="D127" s="96">
        <v>-76220</v>
      </c>
      <c r="E127" s="96">
        <v>70212</v>
      </c>
      <c r="F127" s="96">
        <v>-328877</v>
      </c>
    </row>
    <row r="128" spans="1:12">
      <c r="A128" s="131" t="s">
        <v>630</v>
      </c>
      <c r="B128" s="96">
        <v>-296073</v>
      </c>
      <c r="C128" s="96">
        <v>-111089</v>
      </c>
      <c r="D128" s="96">
        <v>-76604</v>
      </c>
      <c r="E128" s="96">
        <v>74912</v>
      </c>
      <c r="F128" s="96">
        <v>-492481</v>
      </c>
    </row>
    <row r="129" spans="1:6">
      <c r="A129" s="131" t="s">
        <v>780</v>
      </c>
      <c r="B129" s="96">
        <v>8864</v>
      </c>
      <c r="C129" s="96">
        <v>-31098</v>
      </c>
      <c r="D129" s="96">
        <v>-39152</v>
      </c>
      <c r="E129" s="96">
        <v>-65253</v>
      </c>
      <c r="F129" s="96">
        <v>-115596</v>
      </c>
    </row>
    <row r="130" spans="1:6">
      <c r="A130" s="131" t="s">
        <v>632</v>
      </c>
      <c r="B130" s="96">
        <v>233714</v>
      </c>
      <c r="C130" s="96">
        <v>201130</v>
      </c>
      <c r="D130" s="96">
        <v>-210035</v>
      </c>
      <c r="E130" s="96">
        <v>260546</v>
      </c>
      <c r="F130" s="96">
        <v>423730</v>
      </c>
    </row>
    <row r="131" spans="1:6">
      <c r="A131" s="131" t="s">
        <v>363</v>
      </c>
      <c r="B131" s="96">
        <v>-111648</v>
      </c>
      <c r="C131" s="96">
        <v>-238400</v>
      </c>
      <c r="D131" s="96">
        <v>-111929</v>
      </c>
      <c r="E131" s="96">
        <v>-328845</v>
      </c>
      <c r="F131" s="96">
        <v>-466637</v>
      </c>
    </row>
    <row r="132" spans="1:6">
      <c r="A132" s="131" t="s">
        <v>781</v>
      </c>
      <c r="B132" s="96">
        <v>911</v>
      </c>
      <c r="C132" s="232">
        <v>0</v>
      </c>
      <c r="D132" s="232">
        <v>0</v>
      </c>
      <c r="E132" s="232">
        <v>0</v>
      </c>
      <c r="F132" s="232">
        <v>0</v>
      </c>
    </row>
    <row r="133" spans="1:6">
      <c r="A133" s="131" t="s">
        <v>169</v>
      </c>
      <c r="B133" s="96">
        <v>188</v>
      </c>
      <c r="C133" s="96">
        <v>410</v>
      </c>
      <c r="D133" s="96">
        <v>-1240</v>
      </c>
      <c r="E133" s="96">
        <v>-690</v>
      </c>
      <c r="F133" s="96">
        <v>-4485</v>
      </c>
    </row>
    <row r="134" spans="1:6">
      <c r="A134" s="90" t="s">
        <v>633</v>
      </c>
      <c r="B134" s="176">
        <v>1963199</v>
      </c>
      <c r="C134" s="176">
        <v>2520345</v>
      </c>
      <c r="D134" s="176">
        <v>2208926</v>
      </c>
      <c r="E134" s="176">
        <v>3479051</v>
      </c>
      <c r="F134" s="176">
        <v>4079082</v>
      </c>
    </row>
    <row r="135" spans="1:6">
      <c r="A135" s="107" t="s">
        <v>365</v>
      </c>
      <c r="B135" s="96"/>
      <c r="C135" s="96"/>
      <c r="D135" s="96"/>
      <c r="E135" s="96"/>
    </row>
    <row r="136" spans="1:6">
      <c r="A136" s="131" t="s">
        <v>634</v>
      </c>
      <c r="B136" s="96">
        <v>15879</v>
      </c>
      <c r="C136" s="96">
        <v>11731</v>
      </c>
      <c r="D136" s="96">
        <v>39957</v>
      </c>
      <c r="E136" s="96">
        <v>50192</v>
      </c>
      <c r="F136" s="96">
        <v>29785</v>
      </c>
    </row>
    <row r="137" spans="1:6" ht="26.25">
      <c r="A137" s="185" t="s">
        <v>366</v>
      </c>
      <c r="B137" s="96">
        <v>-1440255</v>
      </c>
      <c r="C137" s="96">
        <v>-1518088</v>
      </c>
      <c r="D137" s="96">
        <v>-2302270</v>
      </c>
      <c r="E137" s="96">
        <v>-3302471</v>
      </c>
      <c r="F137" s="96">
        <v>-3933673</v>
      </c>
    </row>
    <row r="138" spans="1:6">
      <c r="A138" s="131" t="s">
        <v>782</v>
      </c>
      <c r="B138" s="231">
        <v>0</v>
      </c>
      <c r="C138" s="231">
        <v>0</v>
      </c>
      <c r="D138" s="96">
        <v>1493</v>
      </c>
      <c r="E138" s="96">
        <v>102506</v>
      </c>
      <c r="F138" s="232">
        <v>0</v>
      </c>
    </row>
    <row r="139" spans="1:6">
      <c r="A139" s="131" t="s">
        <v>783</v>
      </c>
      <c r="B139" s="96">
        <v>91287</v>
      </c>
      <c r="C139" s="96">
        <v>56189</v>
      </c>
      <c r="D139" s="96">
        <v>112811</v>
      </c>
      <c r="E139" s="96">
        <v>22011</v>
      </c>
      <c r="F139" s="96">
        <v>4237</v>
      </c>
    </row>
    <row r="140" spans="1:6">
      <c r="A140" s="131" t="s">
        <v>637</v>
      </c>
      <c r="B140" s="231">
        <v>0</v>
      </c>
      <c r="C140" s="231">
        <v>0</v>
      </c>
      <c r="D140" s="231">
        <v>0</v>
      </c>
      <c r="E140" s="231">
        <v>0</v>
      </c>
      <c r="F140" s="96">
        <v>-232500</v>
      </c>
    </row>
    <row r="141" spans="1:6">
      <c r="A141" s="131" t="s">
        <v>784</v>
      </c>
      <c r="B141" s="96">
        <v>-34777</v>
      </c>
      <c r="C141" s="96">
        <v>-69570</v>
      </c>
      <c r="D141" s="96">
        <v>-147989</v>
      </c>
      <c r="E141" s="96">
        <v>-10463</v>
      </c>
      <c r="F141" s="96">
        <v>-4920</v>
      </c>
    </row>
    <row r="142" spans="1:6" ht="26.25">
      <c r="A142" s="185" t="s">
        <v>785</v>
      </c>
      <c r="B142" s="232">
        <v>0</v>
      </c>
      <c r="C142" s="96">
        <v>-1000</v>
      </c>
      <c r="D142" s="96">
        <v>-23000</v>
      </c>
      <c r="E142" s="96">
        <v>-32576</v>
      </c>
      <c r="F142" s="232">
        <v>0</v>
      </c>
    </row>
    <row r="143" spans="1:6" ht="26.25">
      <c r="A143" s="185" t="s">
        <v>786</v>
      </c>
      <c r="B143" s="232">
        <v>0</v>
      </c>
      <c r="C143" s="96">
        <v>23</v>
      </c>
      <c r="D143" s="96">
        <v>-3379615</v>
      </c>
      <c r="E143" s="96">
        <v>-5613</v>
      </c>
      <c r="F143" s="232">
        <v>0</v>
      </c>
    </row>
    <row r="144" spans="1:6">
      <c r="A144" s="131" t="s">
        <v>641</v>
      </c>
      <c r="B144" s="96">
        <v>5256</v>
      </c>
      <c r="C144" s="96">
        <v>4349</v>
      </c>
      <c r="D144" s="96">
        <v>8173</v>
      </c>
      <c r="E144" s="96">
        <v>8349</v>
      </c>
      <c r="F144" s="96">
        <v>18323</v>
      </c>
    </row>
    <row r="145" spans="1:6">
      <c r="A145" s="131" t="s">
        <v>642</v>
      </c>
      <c r="B145" s="96">
        <v>1594</v>
      </c>
      <c r="C145" s="96">
        <v>1377</v>
      </c>
      <c r="D145" s="96">
        <v>666</v>
      </c>
      <c r="E145" s="96">
        <v>136</v>
      </c>
      <c r="F145" s="96">
        <v>40</v>
      </c>
    </row>
    <row r="146" spans="1:6">
      <c r="A146" s="131" t="s">
        <v>643</v>
      </c>
      <c r="B146" s="96">
        <v>4000</v>
      </c>
      <c r="C146" s="96">
        <v>1475</v>
      </c>
      <c r="D146" s="96">
        <v>240</v>
      </c>
      <c r="E146" s="96">
        <v>24500</v>
      </c>
      <c r="F146" s="96">
        <v>46800</v>
      </c>
    </row>
    <row r="147" spans="1:6">
      <c r="A147" s="131" t="s">
        <v>367</v>
      </c>
      <c r="B147" s="96">
        <v>-1295</v>
      </c>
      <c r="C147" s="96">
        <v>-1400</v>
      </c>
      <c r="D147" s="232">
        <v>0</v>
      </c>
      <c r="E147" s="96">
        <v>-139500</v>
      </c>
      <c r="F147" s="96">
        <v>-108800</v>
      </c>
    </row>
    <row r="148" spans="1:6">
      <c r="A148" s="131" t="s">
        <v>787</v>
      </c>
      <c r="B148" s="232">
        <v>0</v>
      </c>
      <c r="C148" s="232">
        <v>0</v>
      </c>
      <c r="D148" s="232">
        <v>0</v>
      </c>
      <c r="E148" s="232">
        <v>0</v>
      </c>
      <c r="F148" s="232">
        <v>0</v>
      </c>
    </row>
    <row r="149" spans="1:6">
      <c r="A149" s="131" t="s">
        <v>169</v>
      </c>
      <c r="B149" s="96">
        <v>4287</v>
      </c>
      <c r="C149" s="96">
        <v>6438</v>
      </c>
      <c r="D149" s="232">
        <v>0</v>
      </c>
      <c r="E149" s="92">
        <v>0</v>
      </c>
      <c r="F149" s="96">
        <v>220</v>
      </c>
    </row>
    <row r="150" spans="1:6">
      <c r="A150" s="90" t="s">
        <v>372</v>
      </c>
      <c r="B150" s="176">
        <v>-1354024</v>
      </c>
      <c r="C150" s="176">
        <v>-1508476</v>
      </c>
      <c r="D150" s="176">
        <v>-5689534</v>
      </c>
      <c r="E150" s="176">
        <v>-3282929</v>
      </c>
      <c r="F150" s="176">
        <v>-4180488</v>
      </c>
    </row>
    <row r="151" spans="1:6">
      <c r="A151" s="107" t="s">
        <v>373</v>
      </c>
      <c r="B151" s="96"/>
      <c r="C151" s="96"/>
      <c r="D151" s="96"/>
      <c r="E151" s="96"/>
    </row>
    <row r="152" spans="1:6">
      <c r="A152" s="131" t="s">
        <v>644</v>
      </c>
      <c r="B152" s="96">
        <v>-37272</v>
      </c>
      <c r="C152" s="96">
        <v>-35842</v>
      </c>
      <c r="D152" s="96">
        <v>-25603</v>
      </c>
      <c r="E152" s="96">
        <v>-14834</v>
      </c>
      <c r="F152" s="96">
        <v>-14911</v>
      </c>
    </row>
    <row r="153" spans="1:6">
      <c r="A153" s="131" t="s">
        <v>645</v>
      </c>
      <c r="B153" s="96">
        <v>208398</v>
      </c>
      <c r="C153" s="96">
        <v>167115</v>
      </c>
      <c r="D153" s="96">
        <v>87254</v>
      </c>
      <c r="E153" s="96">
        <v>1005000</v>
      </c>
      <c r="F153" s="96">
        <v>452325</v>
      </c>
    </row>
    <row r="154" spans="1:6">
      <c r="A154" s="131" t="s">
        <v>646</v>
      </c>
      <c r="B154" s="96">
        <v>-415385</v>
      </c>
      <c r="C154" s="96">
        <v>-744020</v>
      </c>
      <c r="D154" s="96">
        <v>-467183</v>
      </c>
      <c r="E154" s="96">
        <v>-257210</v>
      </c>
      <c r="F154" s="96">
        <v>-141226</v>
      </c>
    </row>
    <row r="155" spans="1:6">
      <c r="A155" s="131" t="s">
        <v>377</v>
      </c>
      <c r="B155" s="96">
        <v>44000</v>
      </c>
      <c r="C155" s="96">
        <v>848200</v>
      </c>
      <c r="D155" s="96">
        <v>3300000</v>
      </c>
      <c r="E155" s="96">
        <v>150000</v>
      </c>
      <c r="F155" s="231">
        <v>0</v>
      </c>
    </row>
    <row r="156" spans="1:6">
      <c r="A156" s="131" t="s">
        <v>647</v>
      </c>
      <c r="B156" s="96">
        <v>-166308</v>
      </c>
      <c r="C156" s="96">
        <v>-608692</v>
      </c>
      <c r="D156" s="231">
        <v>0</v>
      </c>
      <c r="E156" s="231">
        <v>0</v>
      </c>
      <c r="F156" s="231">
        <v>0</v>
      </c>
    </row>
    <row r="157" spans="1:6">
      <c r="A157" s="131" t="s">
        <v>648</v>
      </c>
      <c r="B157" s="96">
        <v>-51167</v>
      </c>
      <c r="C157" s="232">
        <v>0</v>
      </c>
      <c r="D157" s="96">
        <v>-262882</v>
      </c>
      <c r="E157" s="96">
        <v>-543290</v>
      </c>
      <c r="F157" s="96">
        <v>-350510</v>
      </c>
    </row>
    <row r="158" spans="1:6">
      <c r="A158" s="131" t="s">
        <v>649</v>
      </c>
      <c r="B158" s="96">
        <v>-7074</v>
      </c>
      <c r="C158" s="96">
        <v>-5573</v>
      </c>
      <c r="D158" s="96">
        <v>-13676</v>
      </c>
      <c r="E158" s="96">
        <v>-16434</v>
      </c>
      <c r="F158" s="96">
        <v>-8047</v>
      </c>
    </row>
    <row r="159" spans="1:6">
      <c r="A159" s="131" t="s">
        <v>788</v>
      </c>
      <c r="B159" s="96">
        <v>-8376</v>
      </c>
      <c r="C159" s="232">
        <v>0</v>
      </c>
      <c r="D159" s="232">
        <v>0</v>
      </c>
      <c r="E159" s="232">
        <v>0</v>
      </c>
      <c r="F159" s="232">
        <v>0</v>
      </c>
    </row>
    <row r="160" spans="1:6">
      <c r="A160" s="131" t="s">
        <v>375</v>
      </c>
      <c r="B160" s="96">
        <v>-109333</v>
      </c>
      <c r="C160" s="96">
        <v>-115820</v>
      </c>
      <c r="D160" s="96">
        <v>-52292</v>
      </c>
      <c r="E160" s="96">
        <v>-222089</v>
      </c>
      <c r="F160" s="96">
        <v>-229431</v>
      </c>
    </row>
    <row r="161" spans="1:11">
      <c r="A161" s="131" t="s">
        <v>650</v>
      </c>
      <c r="B161" s="231">
        <v>0</v>
      </c>
      <c r="C161" s="96">
        <v>-9863</v>
      </c>
      <c r="D161" s="96">
        <v>-37800</v>
      </c>
      <c r="E161" s="96">
        <v>-6535</v>
      </c>
      <c r="F161" s="96">
        <v>-37021</v>
      </c>
    </row>
    <row r="162" spans="1:11">
      <c r="A162" s="131" t="s">
        <v>169</v>
      </c>
      <c r="B162" s="96">
        <v>-947</v>
      </c>
      <c r="C162" s="96">
        <v>-8369</v>
      </c>
      <c r="D162" s="96">
        <f>-17779+4725</f>
        <v>-13054</v>
      </c>
      <c r="E162" s="96">
        <f>-10975+106083</f>
        <v>95108</v>
      </c>
      <c r="F162" s="96">
        <f>-9303+89024</f>
        <v>79721</v>
      </c>
    </row>
    <row r="163" spans="1:11">
      <c r="A163" s="90" t="s">
        <v>789</v>
      </c>
      <c r="B163" s="176">
        <v>-543464</v>
      </c>
      <c r="C163" s="176">
        <v>-512864</v>
      </c>
      <c r="D163" s="176">
        <v>2514764</v>
      </c>
      <c r="E163" s="176">
        <v>189716</v>
      </c>
      <c r="F163" s="176">
        <v>-249100</v>
      </c>
    </row>
    <row r="164" spans="1:11" ht="26.25">
      <c r="A164" s="413" t="s">
        <v>652</v>
      </c>
      <c r="B164" s="96">
        <v>65711</v>
      </c>
      <c r="C164" s="96">
        <v>499005</v>
      </c>
      <c r="D164" s="96">
        <v>-965844</v>
      </c>
      <c r="E164" s="96">
        <v>385838</v>
      </c>
      <c r="F164" s="96">
        <v>-350506</v>
      </c>
    </row>
    <row r="165" spans="1:11">
      <c r="A165" s="131" t="s">
        <v>380</v>
      </c>
      <c r="B165" s="96">
        <v>220</v>
      </c>
      <c r="C165" s="96">
        <v>-134</v>
      </c>
      <c r="D165" s="96">
        <v>-3</v>
      </c>
      <c r="E165" s="96">
        <v>-1375</v>
      </c>
      <c r="F165" s="96">
        <v>-1858</v>
      </c>
    </row>
    <row r="166" spans="1:11">
      <c r="A166" s="92" t="s">
        <v>381</v>
      </c>
      <c r="B166" s="96">
        <v>906944</v>
      </c>
      <c r="C166" s="96">
        <v>972655</v>
      </c>
      <c r="D166" s="96">
        <v>1471660</v>
      </c>
      <c r="E166" s="96">
        <v>505816</v>
      </c>
      <c r="F166" s="96">
        <v>891654</v>
      </c>
    </row>
    <row r="167" spans="1:11">
      <c r="A167" s="92" t="s">
        <v>653</v>
      </c>
      <c r="B167" s="96">
        <v>972655</v>
      </c>
      <c r="C167" s="96">
        <v>1471660</v>
      </c>
      <c r="D167" s="96">
        <v>505816</v>
      </c>
      <c r="E167" s="96">
        <v>891654</v>
      </c>
      <c r="F167" s="96">
        <v>541148</v>
      </c>
    </row>
    <row r="168" spans="1:11">
      <c r="A168" s="162" t="s">
        <v>383</v>
      </c>
      <c r="B168" s="153">
        <v>18635</v>
      </c>
      <c r="C168" s="153">
        <v>165862</v>
      </c>
      <c r="D168" s="153">
        <v>176241</v>
      </c>
      <c r="E168" s="153">
        <v>290063</v>
      </c>
      <c r="F168" s="153">
        <v>121129</v>
      </c>
    </row>
    <row r="170" spans="1:11" ht="27.95" customHeight="1">
      <c r="A170" s="465" t="s">
        <v>55</v>
      </c>
      <c r="B170" s="697" t="s">
        <v>655</v>
      </c>
      <c r="C170" s="697"/>
      <c r="D170" s="697"/>
      <c r="E170" s="697"/>
      <c r="F170" s="697"/>
      <c r="G170" s="697"/>
      <c r="H170" s="697"/>
      <c r="I170" s="697"/>
      <c r="J170" s="697"/>
    </row>
    <row r="171" spans="1:11" ht="29.1" customHeight="1">
      <c r="A171" s="465" t="s">
        <v>69</v>
      </c>
      <c r="B171" s="697" t="s">
        <v>656</v>
      </c>
      <c r="C171" s="697"/>
      <c r="D171" s="697"/>
      <c r="E171" s="697"/>
      <c r="F171" s="697"/>
      <c r="G171" s="697"/>
      <c r="H171" s="697"/>
      <c r="I171" s="697"/>
      <c r="J171" s="697"/>
    </row>
    <row r="172" spans="1:11" ht="29.45" customHeight="1">
      <c r="A172" s="465" t="s">
        <v>90</v>
      </c>
      <c r="B172" s="697" t="s">
        <v>658</v>
      </c>
      <c r="C172" s="697"/>
      <c r="D172" s="697"/>
      <c r="E172" s="697"/>
      <c r="F172" s="697"/>
      <c r="G172" s="697"/>
      <c r="H172" s="697"/>
      <c r="I172" s="697"/>
      <c r="J172" s="697"/>
    </row>
    <row r="173" spans="1:11" ht="27.95" customHeight="1">
      <c r="A173" s="465" t="s">
        <v>91</v>
      </c>
      <c r="B173" s="697" t="s">
        <v>660</v>
      </c>
      <c r="C173" s="697"/>
      <c r="D173" s="697"/>
      <c r="E173" s="697"/>
      <c r="F173" s="697"/>
      <c r="G173" s="697"/>
      <c r="H173" s="697"/>
      <c r="I173" s="697"/>
      <c r="J173" s="697"/>
    </row>
    <row r="174" spans="1:11" ht="29.45" customHeight="1">
      <c r="A174" s="465" t="s">
        <v>104</v>
      </c>
      <c r="B174" s="697" t="s">
        <v>661</v>
      </c>
      <c r="C174" s="697"/>
      <c r="D174" s="697"/>
      <c r="E174" s="697"/>
      <c r="F174" s="697"/>
      <c r="G174" s="697"/>
      <c r="H174" s="697"/>
      <c r="I174" s="697"/>
      <c r="J174" s="697"/>
    </row>
    <row r="175" spans="1:11" ht="29.45" customHeight="1">
      <c r="A175" s="465" t="s">
        <v>120</v>
      </c>
      <c r="B175" s="697" t="s">
        <v>662</v>
      </c>
      <c r="C175" s="698"/>
      <c r="D175" s="698"/>
      <c r="E175" s="698"/>
      <c r="F175" s="698"/>
      <c r="G175" s="698"/>
      <c r="H175" s="698"/>
      <c r="I175" s="698"/>
      <c r="J175" s="698"/>
      <c r="K175" s="698"/>
    </row>
    <row r="176" spans="1:11" ht="57.95" customHeight="1">
      <c r="A176" s="467" t="s">
        <v>663</v>
      </c>
      <c r="B176" s="697" t="s">
        <v>928</v>
      </c>
      <c r="C176" s="697"/>
      <c r="D176" s="697"/>
      <c r="E176" s="697"/>
      <c r="F176" s="697"/>
      <c r="G176" s="697"/>
      <c r="H176" s="697"/>
      <c r="I176" s="697"/>
      <c r="J176" s="697"/>
    </row>
    <row r="177" spans="1:11" ht="28.5" customHeight="1">
      <c r="A177" s="467" t="s">
        <v>354</v>
      </c>
      <c r="B177" s="697" t="s">
        <v>665</v>
      </c>
      <c r="C177" s="697"/>
      <c r="D177" s="697"/>
      <c r="E177" s="697"/>
      <c r="F177" s="697"/>
      <c r="G177" s="697"/>
      <c r="H177" s="697"/>
      <c r="I177" s="697"/>
      <c r="J177" s="697"/>
    </row>
    <row r="179" spans="1:11" ht="15.75">
      <c r="A179" s="764" t="s">
        <v>354</v>
      </c>
      <c r="B179" s="765"/>
      <c r="C179" s="765"/>
      <c r="D179" s="765"/>
      <c r="E179" s="765"/>
      <c r="F179" s="765"/>
      <c r="G179" s="136"/>
      <c r="H179" s="136"/>
      <c r="I179" s="136"/>
      <c r="J179" s="136"/>
      <c r="K179" s="136"/>
    </row>
    <row r="180" spans="1:11" ht="76.5">
      <c r="A180" s="766" t="s">
        <v>484</v>
      </c>
      <c r="B180" s="767"/>
      <c r="C180" s="767"/>
      <c r="D180" s="767"/>
      <c r="E180" s="767"/>
      <c r="F180" s="768"/>
      <c r="G180" s="89" t="s">
        <v>756</v>
      </c>
      <c r="H180" s="89" t="s">
        <v>790</v>
      </c>
      <c r="I180" s="89" t="s">
        <v>758</v>
      </c>
      <c r="J180" s="89" t="s">
        <v>759</v>
      </c>
      <c r="K180" s="89" t="s">
        <v>921</v>
      </c>
    </row>
    <row r="181" spans="1:11" s="258" customFormat="1">
      <c r="A181" s="702" t="s">
        <v>355</v>
      </c>
      <c r="B181" s="769"/>
      <c r="C181" s="769"/>
      <c r="D181" s="769"/>
      <c r="E181" s="769"/>
      <c r="F181" s="770"/>
    </row>
    <row r="182" spans="1:11">
      <c r="A182" s="771" t="s">
        <v>791</v>
      </c>
      <c r="B182" s="762"/>
      <c r="C182" s="762"/>
      <c r="D182" s="762"/>
      <c r="E182" s="762"/>
      <c r="F182" s="763"/>
      <c r="G182" s="96">
        <v>1498215</v>
      </c>
      <c r="H182" s="96">
        <v>-2187771</v>
      </c>
      <c r="I182" s="96">
        <v>508861</v>
      </c>
      <c r="J182" s="96">
        <v>1757652</v>
      </c>
      <c r="K182" s="96">
        <v>504647</v>
      </c>
    </row>
    <row r="183" spans="1:11">
      <c r="A183" s="719" t="s">
        <v>357</v>
      </c>
      <c r="B183" s="762"/>
      <c r="C183" s="762"/>
      <c r="D183" s="762"/>
      <c r="E183" s="762"/>
      <c r="F183" s="763"/>
      <c r="G183" s="96">
        <v>936</v>
      </c>
      <c r="H183" s="96">
        <v>-7933</v>
      </c>
      <c r="I183" s="96">
        <v>-60040</v>
      </c>
      <c r="J183" s="96">
        <v>-73050</v>
      </c>
      <c r="K183" s="96">
        <v>-54890</v>
      </c>
    </row>
    <row r="184" spans="1:11">
      <c r="A184" s="719" t="s">
        <v>792</v>
      </c>
      <c r="B184" s="772" t="s">
        <v>31</v>
      </c>
      <c r="C184" s="772"/>
      <c r="D184" s="772"/>
      <c r="E184" s="772"/>
      <c r="F184" s="773"/>
      <c r="G184" s="96">
        <v>1796917</v>
      </c>
      <c r="H184" s="96">
        <v>1832780</v>
      </c>
      <c r="I184" s="96">
        <v>1668726</v>
      </c>
      <c r="J184" s="96">
        <v>1693468</v>
      </c>
      <c r="K184" s="96">
        <v>1721783</v>
      </c>
    </row>
    <row r="185" spans="1:11" ht="25.5">
      <c r="A185" s="477" t="s">
        <v>793</v>
      </c>
      <c r="B185" s="74"/>
      <c r="C185" s="74"/>
      <c r="D185" s="74"/>
      <c r="E185" s="74"/>
      <c r="F185" s="488"/>
      <c r="G185" s="96">
        <v>51036</v>
      </c>
      <c r="H185" s="96">
        <v>3595895</v>
      </c>
      <c r="I185" s="96">
        <v>867109</v>
      </c>
      <c r="J185" s="96">
        <v>45604</v>
      </c>
      <c r="K185" s="96">
        <v>862209</v>
      </c>
    </row>
    <row r="186" spans="1:11">
      <c r="A186" s="719" t="s">
        <v>794</v>
      </c>
      <c r="B186" s="762" t="s">
        <v>32</v>
      </c>
      <c r="C186" s="762"/>
      <c r="D186" s="762"/>
      <c r="E186" s="762"/>
      <c r="F186" s="763"/>
      <c r="G186" s="96">
        <v>286733</v>
      </c>
      <c r="H186" s="96">
        <v>273502</v>
      </c>
      <c r="I186" s="96">
        <v>249719</v>
      </c>
      <c r="J186" s="96">
        <v>203653</v>
      </c>
      <c r="K186" s="96">
        <v>145136</v>
      </c>
    </row>
    <row r="187" spans="1:11">
      <c r="A187" s="719" t="s">
        <v>795</v>
      </c>
      <c r="B187" s="762" t="s">
        <v>102</v>
      </c>
      <c r="C187" s="762"/>
      <c r="D187" s="762"/>
      <c r="E187" s="762"/>
      <c r="F187" s="763"/>
      <c r="G187" s="96">
        <v>-166</v>
      </c>
      <c r="H187" s="96">
        <v>329</v>
      </c>
      <c r="I187" s="96">
        <v>-2703</v>
      </c>
      <c r="J187" s="96">
        <v>-137894</v>
      </c>
      <c r="K187" s="96">
        <f>24065+78542</f>
        <v>102607</v>
      </c>
    </row>
    <row r="188" spans="1:11">
      <c r="A188" s="719" t="s">
        <v>362</v>
      </c>
      <c r="B188" s="762" t="s">
        <v>33</v>
      </c>
      <c r="C188" s="762"/>
      <c r="D188" s="762"/>
      <c r="E188" s="762"/>
      <c r="F188" s="763"/>
      <c r="G188" s="96">
        <v>-707371</v>
      </c>
      <c r="H188" s="96">
        <v>-7628</v>
      </c>
      <c r="I188" s="96">
        <v>227335</v>
      </c>
      <c r="J188" s="96">
        <v>212451</v>
      </c>
      <c r="K188" s="96">
        <v>-832542</v>
      </c>
    </row>
    <row r="189" spans="1:11">
      <c r="A189" s="719" t="s">
        <v>363</v>
      </c>
      <c r="B189" s="762" t="s">
        <v>34</v>
      </c>
      <c r="C189" s="762"/>
      <c r="D189" s="762"/>
      <c r="E189" s="762"/>
      <c r="F189" s="763"/>
      <c r="G189" s="96">
        <v>-308393</v>
      </c>
      <c r="H189" s="96">
        <v>-111716</v>
      </c>
      <c r="I189" s="96">
        <v>-394792</v>
      </c>
      <c r="J189" s="96">
        <v>-143217</v>
      </c>
      <c r="K189" s="96">
        <v>-392184</v>
      </c>
    </row>
    <row r="190" spans="1:11" s="177" customFormat="1">
      <c r="A190" s="702" t="s">
        <v>633</v>
      </c>
      <c r="B190" s="769" t="s">
        <v>35</v>
      </c>
      <c r="C190" s="769"/>
      <c r="D190" s="769"/>
      <c r="E190" s="769"/>
      <c r="F190" s="770"/>
      <c r="G190" s="175">
        <v>2617907</v>
      </c>
      <c r="H190" s="175">
        <v>3387458</v>
      </c>
      <c r="I190" s="175">
        <v>3064215</v>
      </c>
      <c r="J190" s="175">
        <v>3558667</v>
      </c>
      <c r="K190" s="175">
        <v>2056766</v>
      </c>
    </row>
    <row r="191" spans="1:11">
      <c r="A191" s="771" t="s">
        <v>365</v>
      </c>
      <c r="B191" s="762" t="s">
        <v>36</v>
      </c>
      <c r="C191" s="762"/>
      <c r="D191" s="762"/>
      <c r="E191" s="762"/>
      <c r="F191" s="763"/>
    </row>
    <row r="192" spans="1:11" ht="25.5">
      <c r="A192" s="453" t="s">
        <v>796</v>
      </c>
      <c r="B192" s="774"/>
      <c r="C192" s="774"/>
      <c r="D192" s="774"/>
      <c r="E192" s="774"/>
      <c r="F192" s="775"/>
      <c r="G192" s="96">
        <v>-3464578</v>
      </c>
      <c r="H192" s="96">
        <v>-3973510</v>
      </c>
      <c r="I192" s="96">
        <v>-3516296</v>
      </c>
      <c r="J192" s="96">
        <v>-3561758</v>
      </c>
      <c r="K192" s="96">
        <v>-3575711</v>
      </c>
    </row>
    <row r="193" spans="1:11">
      <c r="A193" s="719" t="s">
        <v>797</v>
      </c>
      <c r="B193" s="762" t="s">
        <v>48</v>
      </c>
      <c r="C193" s="762"/>
      <c r="D193" s="762"/>
      <c r="E193" s="762"/>
      <c r="F193" s="763"/>
      <c r="G193" s="232">
        <v>0</v>
      </c>
      <c r="H193" s="232">
        <v>0</v>
      </c>
      <c r="I193" s="96">
        <v>-131077</v>
      </c>
      <c r="J193" s="232">
        <v>0</v>
      </c>
      <c r="K193" s="232">
        <v>0</v>
      </c>
    </row>
    <row r="194" spans="1:11">
      <c r="A194" s="719" t="s">
        <v>798</v>
      </c>
      <c r="B194" s="762" t="s">
        <v>37</v>
      </c>
      <c r="C194" s="762"/>
      <c r="D194" s="762"/>
      <c r="E194" s="762"/>
      <c r="F194" s="763"/>
      <c r="G194" s="96">
        <v>-6684</v>
      </c>
      <c r="H194" s="96">
        <v>-29067</v>
      </c>
      <c r="I194" s="96">
        <v>-36621</v>
      </c>
      <c r="J194" s="96">
        <v>-90055</v>
      </c>
      <c r="K194" s="96">
        <v>-29965</v>
      </c>
    </row>
    <row r="195" spans="1:11">
      <c r="A195" s="719" t="s">
        <v>799</v>
      </c>
      <c r="B195" s="762" t="s">
        <v>38</v>
      </c>
      <c r="C195" s="762"/>
      <c r="D195" s="762"/>
      <c r="E195" s="762"/>
      <c r="F195" s="763"/>
      <c r="G195" s="96">
        <v>-18050</v>
      </c>
      <c r="H195" s="96">
        <v>-26100</v>
      </c>
      <c r="I195" s="96">
        <v>-23575</v>
      </c>
      <c r="J195" s="96">
        <v>-307132</v>
      </c>
      <c r="K195" s="96">
        <v>-52110</v>
      </c>
    </row>
    <row r="196" spans="1:11">
      <c r="A196" s="719" t="s">
        <v>800</v>
      </c>
      <c r="B196" s="762"/>
      <c r="C196" s="762"/>
      <c r="D196" s="762"/>
      <c r="E196" s="762"/>
      <c r="F196" s="763"/>
      <c r="G196" s="96">
        <v>-184</v>
      </c>
      <c r="H196" s="232">
        <v>0</v>
      </c>
      <c r="I196" s="232">
        <v>0</v>
      </c>
      <c r="J196" s="232">
        <v>0</v>
      </c>
      <c r="K196" s="232">
        <v>0</v>
      </c>
    </row>
    <row r="197" spans="1:11" s="187" customFormat="1">
      <c r="A197" s="705" t="s">
        <v>369</v>
      </c>
      <c r="B197" s="776" t="s">
        <v>39</v>
      </c>
      <c r="C197" s="776"/>
      <c r="D197" s="776"/>
      <c r="E197" s="776"/>
      <c r="F197" s="777"/>
      <c r="G197" s="123">
        <v>-3489496</v>
      </c>
      <c r="H197" s="123">
        <v>-4028677</v>
      </c>
      <c r="I197" s="123">
        <v>-3707569</v>
      </c>
      <c r="J197" s="123">
        <v>-3958945</v>
      </c>
      <c r="K197" s="123">
        <v>-3657786</v>
      </c>
    </row>
    <row r="198" spans="1:11" ht="25.5">
      <c r="A198" s="237" t="s">
        <v>801</v>
      </c>
      <c r="B198" s="489"/>
      <c r="C198" s="489"/>
      <c r="D198" s="489"/>
      <c r="E198" s="489"/>
      <c r="F198" s="490"/>
      <c r="G198" s="96">
        <v>47800</v>
      </c>
      <c r="H198" s="96">
        <v>36554</v>
      </c>
      <c r="I198" s="96">
        <v>33260</v>
      </c>
      <c r="J198" s="96">
        <v>36668</v>
      </c>
      <c r="K198" s="96">
        <v>29000</v>
      </c>
    </row>
    <row r="199" spans="1:11">
      <c r="A199" s="719" t="s">
        <v>802</v>
      </c>
      <c r="B199" s="762" t="s">
        <v>40</v>
      </c>
      <c r="C199" s="762"/>
      <c r="D199" s="762"/>
      <c r="E199" s="762"/>
      <c r="F199" s="763"/>
      <c r="G199" s="96">
        <v>11700</v>
      </c>
      <c r="H199" s="96">
        <v>14500</v>
      </c>
      <c r="I199" s="232">
        <v>0</v>
      </c>
      <c r="J199" s="232">
        <v>0</v>
      </c>
      <c r="K199" s="96">
        <v>301225</v>
      </c>
    </row>
    <row r="200" spans="1:11">
      <c r="A200" s="719" t="s">
        <v>803</v>
      </c>
      <c r="B200" s="762" t="s">
        <v>45</v>
      </c>
      <c r="C200" s="762"/>
      <c r="D200" s="762"/>
      <c r="E200" s="762"/>
      <c r="F200" s="763"/>
      <c r="G200" s="232">
        <v>0</v>
      </c>
      <c r="H200" s="96">
        <v>21732</v>
      </c>
      <c r="I200" s="232">
        <v>0</v>
      </c>
      <c r="J200" s="232">
        <v>0</v>
      </c>
      <c r="K200" s="232">
        <v>0</v>
      </c>
    </row>
    <row r="201" spans="1:11">
      <c r="A201" s="719" t="s">
        <v>804</v>
      </c>
      <c r="B201" s="762" t="s">
        <v>88</v>
      </c>
      <c r="C201" s="762"/>
      <c r="D201" s="762"/>
      <c r="E201" s="762"/>
      <c r="F201" s="763"/>
      <c r="G201" s="96">
        <v>3931</v>
      </c>
      <c r="H201" s="96">
        <v>4684</v>
      </c>
      <c r="I201" s="96">
        <v>29728</v>
      </c>
      <c r="J201" s="96">
        <v>24636</v>
      </c>
      <c r="K201" s="96">
        <v>23608</v>
      </c>
    </row>
    <row r="202" spans="1:11">
      <c r="A202" s="719" t="s">
        <v>805</v>
      </c>
      <c r="B202" s="762" t="s">
        <v>41</v>
      </c>
      <c r="C202" s="762"/>
      <c r="D202" s="762"/>
      <c r="E202" s="762"/>
      <c r="F202" s="763"/>
      <c r="G202" s="145">
        <v>39332</v>
      </c>
      <c r="H202" s="145">
        <v>9085</v>
      </c>
      <c r="I202" s="145">
        <v>17123</v>
      </c>
      <c r="J202" s="145">
        <v>25965</v>
      </c>
      <c r="K202" s="145">
        <f>77742+4664</f>
        <v>82406</v>
      </c>
    </row>
    <row r="203" spans="1:11" s="258" customFormat="1">
      <c r="A203" s="778" t="s">
        <v>371</v>
      </c>
      <c r="B203" s="779" t="s">
        <v>42</v>
      </c>
      <c r="C203" s="779"/>
      <c r="D203" s="779"/>
      <c r="E203" s="779"/>
      <c r="F203" s="780"/>
      <c r="G203" s="259">
        <v>102763</v>
      </c>
      <c r="H203" s="259">
        <v>86555</v>
      </c>
      <c r="I203" s="259">
        <v>80111</v>
      </c>
      <c r="J203" s="259">
        <v>87269</v>
      </c>
      <c r="K203" s="259">
        <v>436239</v>
      </c>
    </row>
    <row r="204" spans="1:11" s="177" customFormat="1">
      <c r="A204" s="702" t="s">
        <v>372</v>
      </c>
      <c r="B204" s="769" t="s">
        <v>43</v>
      </c>
      <c r="C204" s="769"/>
      <c r="D204" s="769"/>
      <c r="E204" s="769"/>
      <c r="F204" s="770"/>
      <c r="G204" s="175">
        <v>-3386733</v>
      </c>
      <c r="H204" s="175">
        <v>-3942122</v>
      </c>
      <c r="I204" s="175">
        <v>-3627458</v>
      </c>
      <c r="J204" s="175">
        <v>-3871676</v>
      </c>
      <c r="K204" s="175">
        <v>-3221547</v>
      </c>
    </row>
    <row r="205" spans="1:11">
      <c r="A205" s="771" t="s">
        <v>373</v>
      </c>
      <c r="B205" s="762" t="s">
        <v>44</v>
      </c>
      <c r="C205" s="762"/>
      <c r="D205" s="762"/>
      <c r="E205" s="762"/>
      <c r="F205" s="763"/>
    </row>
    <row r="206" spans="1:11">
      <c r="A206" s="719" t="s">
        <v>806</v>
      </c>
      <c r="B206" s="762" t="s">
        <v>45</v>
      </c>
      <c r="C206" s="762"/>
      <c r="D206" s="762"/>
      <c r="E206" s="762"/>
      <c r="F206" s="763"/>
      <c r="G206" s="96">
        <v>-1148200</v>
      </c>
      <c r="H206" s="96">
        <v>-450000</v>
      </c>
      <c r="I206" s="96">
        <v>-3300000</v>
      </c>
      <c r="J206" s="96">
        <v>-1650000</v>
      </c>
      <c r="K206" s="232">
        <v>0</v>
      </c>
    </row>
    <row r="207" spans="1:11">
      <c r="A207" s="719" t="s">
        <v>807</v>
      </c>
      <c r="B207" s="762" t="s">
        <v>46</v>
      </c>
      <c r="C207" s="762"/>
      <c r="D207" s="762"/>
      <c r="E207" s="762"/>
      <c r="F207" s="763"/>
      <c r="G207" s="96">
        <v>-169971</v>
      </c>
      <c r="H207" s="96">
        <v>-140585</v>
      </c>
      <c r="I207" s="96">
        <v>-140331</v>
      </c>
      <c r="J207" s="96">
        <v>-154918</v>
      </c>
      <c r="K207" s="96">
        <v>-168874</v>
      </c>
    </row>
    <row r="208" spans="1:11">
      <c r="A208" s="719" t="s">
        <v>808</v>
      </c>
      <c r="B208" s="762" t="s">
        <v>89</v>
      </c>
      <c r="C208" s="762"/>
      <c r="D208" s="762"/>
      <c r="E208" s="762"/>
      <c r="F208" s="763"/>
      <c r="G208" s="96">
        <v>-332984</v>
      </c>
      <c r="H208" s="96">
        <v>-262882</v>
      </c>
      <c r="I208" s="232">
        <v>0</v>
      </c>
      <c r="J208" s="232">
        <v>0</v>
      </c>
      <c r="K208" s="232">
        <v>0</v>
      </c>
    </row>
    <row r="209" spans="1:11">
      <c r="A209" s="719" t="s">
        <v>809</v>
      </c>
      <c r="B209" s="762" t="s">
        <v>47</v>
      </c>
      <c r="C209" s="762"/>
      <c r="D209" s="762"/>
      <c r="E209" s="762"/>
      <c r="F209" s="763"/>
      <c r="G209" s="96">
        <v>-273392</v>
      </c>
      <c r="H209" s="96">
        <v>-276305</v>
      </c>
      <c r="I209" s="96">
        <v>-255116</v>
      </c>
      <c r="J209" s="96">
        <v>-184550</v>
      </c>
      <c r="K209" s="96">
        <v>-160170</v>
      </c>
    </row>
    <row r="210" spans="1:11">
      <c r="A210" s="719" t="s">
        <v>800</v>
      </c>
      <c r="B210" s="762" t="s">
        <v>49</v>
      </c>
      <c r="C210" s="762"/>
      <c r="D210" s="762"/>
      <c r="E210" s="762"/>
      <c r="F210" s="763"/>
      <c r="G210" s="96">
        <v>-156077</v>
      </c>
      <c r="H210" s="96">
        <v>-44059</v>
      </c>
      <c r="I210" s="96">
        <v>-29697</v>
      </c>
      <c r="J210" s="96">
        <v>-31865</v>
      </c>
      <c r="K210" s="96">
        <f>-42208-10000</f>
        <v>-52208</v>
      </c>
    </row>
    <row r="211" spans="1:11">
      <c r="A211" s="705" t="s">
        <v>369</v>
      </c>
      <c r="B211" s="776" t="s">
        <v>39</v>
      </c>
      <c r="C211" s="776"/>
      <c r="D211" s="776"/>
      <c r="E211" s="776"/>
      <c r="F211" s="777"/>
      <c r="G211" s="123">
        <v>-2080624</v>
      </c>
      <c r="H211" s="123">
        <v>-1173831</v>
      </c>
      <c r="I211" s="123">
        <v>-3725144</v>
      </c>
      <c r="J211" s="123">
        <v>-2021333</v>
      </c>
      <c r="K211" s="123">
        <v>-381252</v>
      </c>
    </row>
    <row r="212" spans="1:11">
      <c r="A212" s="719" t="s">
        <v>810</v>
      </c>
      <c r="B212" s="762" t="s">
        <v>50</v>
      </c>
      <c r="C212" s="762"/>
      <c r="D212" s="762"/>
      <c r="E212" s="762"/>
      <c r="F212" s="763"/>
      <c r="G212" s="96">
        <v>3653234</v>
      </c>
      <c r="H212" s="96">
        <v>310000</v>
      </c>
      <c r="I212" s="96">
        <v>4284607</v>
      </c>
      <c r="J212" s="96">
        <v>2707462</v>
      </c>
      <c r="K212" s="96">
        <v>1350000</v>
      </c>
    </row>
    <row r="213" spans="1:11">
      <c r="A213" s="719" t="s">
        <v>811</v>
      </c>
      <c r="B213" s="762" t="s">
        <v>99</v>
      </c>
      <c r="C213" s="762"/>
      <c r="D213" s="762"/>
      <c r="E213" s="762"/>
      <c r="F213" s="763"/>
      <c r="G213" s="232">
        <v>0</v>
      </c>
      <c r="H213" s="96">
        <v>295000</v>
      </c>
      <c r="I213" s="96">
        <v>914</v>
      </c>
      <c r="J213" s="232">
        <v>0</v>
      </c>
      <c r="K213" s="96">
        <v>293</v>
      </c>
    </row>
    <row r="214" spans="1:11">
      <c r="A214" s="719" t="s">
        <v>812</v>
      </c>
      <c r="B214" s="762" t="s">
        <v>103</v>
      </c>
      <c r="C214" s="762"/>
      <c r="D214" s="762"/>
      <c r="E214" s="762"/>
      <c r="F214" s="763"/>
      <c r="G214" s="96">
        <v>63139</v>
      </c>
      <c r="H214" s="96">
        <v>43139</v>
      </c>
      <c r="I214" s="96">
        <v>29884</v>
      </c>
      <c r="J214" s="96">
        <v>73500</v>
      </c>
      <c r="K214" s="96">
        <v>102359</v>
      </c>
    </row>
    <row r="215" spans="1:11">
      <c r="A215" s="719" t="s">
        <v>922</v>
      </c>
      <c r="B215" s="762"/>
      <c r="C215" s="762"/>
      <c r="D215" s="762"/>
      <c r="E215" s="762"/>
      <c r="F215" s="763"/>
      <c r="G215" s="232">
        <v>0</v>
      </c>
      <c r="H215" s="232">
        <v>0</v>
      </c>
      <c r="I215" s="232">
        <v>0</v>
      </c>
      <c r="J215" s="232">
        <v>0</v>
      </c>
      <c r="K215" s="96">
        <v>100000</v>
      </c>
    </row>
    <row r="216" spans="1:11">
      <c r="A216" s="705" t="s">
        <v>371</v>
      </c>
      <c r="B216" s="776" t="s">
        <v>42</v>
      </c>
      <c r="C216" s="776"/>
      <c r="D216" s="776"/>
      <c r="E216" s="776"/>
      <c r="F216" s="777"/>
      <c r="G216" s="145">
        <v>3716373</v>
      </c>
      <c r="H216" s="145">
        <v>648139</v>
      </c>
      <c r="I216" s="145">
        <v>4315405</v>
      </c>
      <c r="J216" s="145">
        <v>2780962</v>
      </c>
      <c r="K216" s="145">
        <v>1552652</v>
      </c>
    </row>
    <row r="217" spans="1:11" s="177" customFormat="1">
      <c r="A217" s="702" t="s">
        <v>651</v>
      </c>
      <c r="B217" s="769" t="s">
        <v>51</v>
      </c>
      <c r="C217" s="769"/>
      <c r="D217" s="769"/>
      <c r="E217" s="769"/>
      <c r="F217" s="770"/>
      <c r="G217" s="175">
        <v>1635749</v>
      </c>
      <c r="H217" s="175">
        <v>-525692</v>
      </c>
      <c r="I217" s="175">
        <v>590261</v>
      </c>
      <c r="J217" s="175">
        <v>759629</v>
      </c>
      <c r="K217" s="175">
        <v>1171400</v>
      </c>
    </row>
    <row r="218" spans="1:11" s="177" customFormat="1" ht="26.45" customHeight="1">
      <c r="A218" s="407" t="s">
        <v>652</v>
      </c>
      <c r="B218" s="784"/>
      <c r="C218" s="784"/>
      <c r="D218" s="784"/>
      <c r="E218" s="784"/>
      <c r="F218" s="785"/>
      <c r="G218" s="175">
        <v>866923</v>
      </c>
      <c r="H218" s="175">
        <v>-1080356</v>
      </c>
      <c r="I218" s="175">
        <v>27018</v>
      </c>
      <c r="J218" s="175">
        <v>446620</v>
      </c>
      <c r="K218" s="175">
        <v>6619</v>
      </c>
    </row>
    <row r="219" spans="1:11">
      <c r="A219" s="719" t="s">
        <v>813</v>
      </c>
      <c r="B219" s="762" t="s">
        <v>52</v>
      </c>
      <c r="C219" s="762"/>
      <c r="D219" s="762"/>
      <c r="E219" s="762"/>
      <c r="F219" s="763"/>
      <c r="G219" s="96">
        <v>-177</v>
      </c>
      <c r="H219" s="96">
        <v>1169</v>
      </c>
      <c r="I219" s="96">
        <v>1283</v>
      </c>
      <c r="J219" s="96">
        <v>1820</v>
      </c>
      <c r="K219" s="96">
        <v>-422</v>
      </c>
    </row>
    <row r="220" spans="1:11">
      <c r="A220" s="705" t="s">
        <v>814</v>
      </c>
      <c r="B220" s="776" t="s">
        <v>53</v>
      </c>
      <c r="C220" s="776"/>
      <c r="D220" s="776"/>
      <c r="E220" s="776"/>
      <c r="F220" s="777"/>
      <c r="G220" s="96">
        <v>541148</v>
      </c>
      <c r="H220" s="96">
        <v>1408071</v>
      </c>
      <c r="I220" s="96">
        <v>327715</v>
      </c>
      <c r="J220" s="96">
        <v>354733</v>
      </c>
      <c r="K220" s="96">
        <v>801353</v>
      </c>
    </row>
    <row r="221" spans="1:11">
      <c r="A221" s="705" t="s">
        <v>653</v>
      </c>
      <c r="B221" s="776" t="s">
        <v>101</v>
      </c>
      <c r="C221" s="776"/>
      <c r="D221" s="776"/>
      <c r="E221" s="776"/>
      <c r="F221" s="777"/>
      <c r="G221" s="96">
        <v>1408071</v>
      </c>
      <c r="H221" s="96">
        <v>327715</v>
      </c>
      <c r="I221" s="96">
        <v>354733</v>
      </c>
      <c r="J221" s="96">
        <v>801353</v>
      </c>
      <c r="K221" s="96">
        <v>807972</v>
      </c>
    </row>
    <row r="222" spans="1:11" s="258" customFormat="1">
      <c r="A222" s="781" t="s">
        <v>815</v>
      </c>
      <c r="B222" s="782" t="s">
        <v>54</v>
      </c>
      <c r="C222" s="782"/>
      <c r="D222" s="782"/>
      <c r="E222" s="782"/>
      <c r="F222" s="783"/>
      <c r="G222" s="260">
        <v>116568</v>
      </c>
      <c r="H222" s="153">
        <v>206254</v>
      </c>
      <c r="I222" s="153">
        <v>144404</v>
      </c>
      <c r="J222" s="153">
        <v>68828</v>
      </c>
      <c r="K222" s="153">
        <v>231987</v>
      </c>
    </row>
  </sheetData>
  <mergeCells count="78">
    <mergeCell ref="B13:H13"/>
    <mergeCell ref="B17:H18"/>
    <mergeCell ref="I12:K12"/>
    <mergeCell ref="I8:K8"/>
    <mergeCell ref="I15:K16"/>
    <mergeCell ref="B11:I11"/>
    <mergeCell ref="A219:F219"/>
    <mergeCell ref="A220:F220"/>
    <mergeCell ref="A221:F221"/>
    <mergeCell ref="A222:F222"/>
    <mergeCell ref="A212:F212"/>
    <mergeCell ref="A213:F213"/>
    <mergeCell ref="A214:F214"/>
    <mergeCell ref="A216:F216"/>
    <mergeCell ref="A217:F217"/>
    <mergeCell ref="B218:F218"/>
    <mergeCell ref="A215:F215"/>
    <mergeCell ref="A211:F211"/>
    <mergeCell ref="A200:F200"/>
    <mergeCell ref="A201:F201"/>
    <mergeCell ref="A202:F202"/>
    <mergeCell ref="A203:F203"/>
    <mergeCell ref="A204:F204"/>
    <mergeCell ref="A205:F205"/>
    <mergeCell ref="A206:F206"/>
    <mergeCell ref="A207:F207"/>
    <mergeCell ref="A208:F208"/>
    <mergeCell ref="A209:F209"/>
    <mergeCell ref="A210:F210"/>
    <mergeCell ref="A199:F199"/>
    <mergeCell ref="A187:F187"/>
    <mergeCell ref="A188:F188"/>
    <mergeCell ref="A189:F189"/>
    <mergeCell ref="A190:F190"/>
    <mergeCell ref="A191:F191"/>
    <mergeCell ref="B192:F192"/>
    <mergeCell ref="A193:F193"/>
    <mergeCell ref="A194:F194"/>
    <mergeCell ref="A195:F195"/>
    <mergeCell ref="A196:F196"/>
    <mergeCell ref="A197:F197"/>
    <mergeCell ref="K95:K96"/>
    <mergeCell ref="H84:H85"/>
    <mergeCell ref="A186:F186"/>
    <mergeCell ref="B172:J172"/>
    <mergeCell ref="B173:J173"/>
    <mergeCell ref="B174:J174"/>
    <mergeCell ref="B176:J176"/>
    <mergeCell ref="B177:J177"/>
    <mergeCell ref="A179:F179"/>
    <mergeCell ref="A180:F180"/>
    <mergeCell ref="A181:F181"/>
    <mergeCell ref="A182:F182"/>
    <mergeCell ref="A183:F183"/>
    <mergeCell ref="A184:F184"/>
    <mergeCell ref="B175:K175"/>
    <mergeCell ref="B47:B48"/>
    <mergeCell ref="C47:C48"/>
    <mergeCell ref="B58:F58"/>
    <mergeCell ref="B61:F61"/>
    <mergeCell ref="B171:J171"/>
    <mergeCell ref="B88:B89"/>
    <mergeCell ref="G95:G96"/>
    <mergeCell ref="H95:H96"/>
    <mergeCell ref="I95:I96"/>
    <mergeCell ref="J95:J96"/>
    <mergeCell ref="B97:F99"/>
    <mergeCell ref="B102:B103"/>
    <mergeCell ref="B106:F106"/>
    <mergeCell ref="B170:J170"/>
    <mergeCell ref="G100:K100"/>
    <mergeCell ref="G105:I105"/>
    <mergeCell ref="J19:K19"/>
    <mergeCell ref="G59:I60"/>
    <mergeCell ref="J60:K60"/>
    <mergeCell ref="I84:I85"/>
    <mergeCell ref="J84:J85"/>
    <mergeCell ref="K84:K85"/>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9"/>
  <sheetViews>
    <sheetView workbookViewId="0">
      <selection activeCell="E18" sqref="E18"/>
    </sheetView>
  </sheetViews>
  <sheetFormatPr defaultColWidth="20.7109375" defaultRowHeight="30" customHeight="1"/>
  <cols>
    <col min="1" max="1" width="8.85546875" customWidth="1"/>
    <col min="2" max="2" width="8.5703125" customWidth="1"/>
    <col min="3" max="3" width="34.42578125" customWidth="1"/>
    <col min="4" max="4" width="12.140625" customWidth="1"/>
    <col min="5" max="6" width="12.7109375" customWidth="1"/>
    <col min="7" max="7" width="13.7109375" customWidth="1"/>
    <col min="8" max="8" width="13.42578125" customWidth="1"/>
    <col min="9" max="11" width="12.7109375" customWidth="1"/>
    <col min="12" max="12" width="15.7109375" customWidth="1"/>
    <col min="13" max="16" width="12.7109375" customWidth="1"/>
    <col min="17" max="17" width="15.7109375" customWidth="1"/>
    <col min="18" max="21" width="12.7109375" customWidth="1"/>
    <col min="22" max="22" width="15.7109375" customWidth="1"/>
    <col min="23" max="26" width="12.7109375" customWidth="1"/>
    <col min="27" max="27" width="15.7109375" customWidth="1"/>
    <col min="28" max="31" width="12.7109375" customWidth="1"/>
    <col min="32" max="32" width="15.7109375" customWidth="1"/>
    <col min="33" max="36" width="12.7109375" customWidth="1"/>
  </cols>
  <sheetData>
    <row r="2" spans="2:36" ht="30" customHeight="1">
      <c r="C2" s="380" t="s">
        <v>427</v>
      </c>
      <c r="V2" s="372"/>
      <c r="W2" s="372"/>
      <c r="X2" s="372"/>
    </row>
    <row r="3" spans="2:36" ht="9" customHeight="1"/>
    <row r="4" spans="2:36" ht="36" customHeight="1">
      <c r="C4" s="396"/>
      <c r="D4" s="396"/>
      <c r="E4" s="660" t="s">
        <v>985</v>
      </c>
      <c r="F4" s="504" t="s">
        <v>961</v>
      </c>
      <c r="G4" s="397">
        <v>2018</v>
      </c>
      <c r="H4" s="538" t="s">
        <v>929</v>
      </c>
      <c r="I4" s="538" t="s">
        <v>894</v>
      </c>
      <c r="J4" s="501" t="s">
        <v>846</v>
      </c>
      <c r="K4" s="504" t="s">
        <v>828</v>
      </c>
      <c r="L4" s="397">
        <v>2017</v>
      </c>
      <c r="M4" s="501" t="s">
        <v>829</v>
      </c>
      <c r="N4" s="502" t="s">
        <v>830</v>
      </c>
      <c r="O4" s="503" t="s">
        <v>831</v>
      </c>
      <c r="P4" s="504" t="s">
        <v>832</v>
      </c>
      <c r="Q4" s="397">
        <v>2016</v>
      </c>
      <c r="R4" s="501" t="s">
        <v>833</v>
      </c>
      <c r="S4" s="502" t="s">
        <v>834</v>
      </c>
      <c r="T4" s="503" t="s">
        <v>835</v>
      </c>
      <c r="U4" s="504" t="s">
        <v>836</v>
      </c>
      <c r="V4" s="397">
        <v>2015</v>
      </c>
      <c r="W4" s="501" t="s">
        <v>837</v>
      </c>
      <c r="X4" s="502" t="s">
        <v>431</v>
      </c>
      <c r="Y4" s="503" t="s">
        <v>838</v>
      </c>
      <c r="Z4" s="504" t="s">
        <v>839</v>
      </c>
      <c r="AA4" s="397">
        <v>2014</v>
      </c>
      <c r="AB4" s="501" t="s">
        <v>840</v>
      </c>
      <c r="AC4" s="502" t="s">
        <v>397</v>
      </c>
      <c r="AD4" s="503" t="s">
        <v>841</v>
      </c>
      <c r="AE4" s="504" t="s">
        <v>842</v>
      </c>
      <c r="AF4" s="397">
        <v>2013</v>
      </c>
      <c r="AG4" s="501" t="s">
        <v>843</v>
      </c>
      <c r="AH4" s="502" t="s">
        <v>844</v>
      </c>
      <c r="AI4" s="503" t="s">
        <v>400</v>
      </c>
      <c r="AJ4" s="504" t="s">
        <v>845</v>
      </c>
    </row>
    <row r="5" spans="2:36" ht="30" customHeight="1">
      <c r="C5" s="381" t="s">
        <v>131</v>
      </c>
      <c r="D5" s="382" t="s">
        <v>133</v>
      </c>
      <c r="E5" s="661">
        <v>0.99</v>
      </c>
      <c r="F5" s="507">
        <v>1.26</v>
      </c>
      <c r="G5" s="587">
        <v>5.01</v>
      </c>
      <c r="H5" s="539">
        <v>1.4</v>
      </c>
      <c r="I5" s="539">
        <v>1.0900000000000001</v>
      </c>
      <c r="J5" s="505">
        <v>1.1000000000000001</v>
      </c>
      <c r="K5" s="507">
        <v>1.42</v>
      </c>
      <c r="L5" s="383">
        <v>6.45</v>
      </c>
      <c r="M5" s="505">
        <v>1.7700000000000005</v>
      </c>
      <c r="N5" s="506">
        <v>1.3599999999999999</v>
      </c>
      <c r="O5" s="506">
        <v>1.8099999999999998</v>
      </c>
      <c r="P5" s="507">
        <v>1.51</v>
      </c>
      <c r="Q5" s="383">
        <v>6.37</v>
      </c>
      <c r="R5" s="505">
        <v>2.16</v>
      </c>
      <c r="S5" s="506">
        <v>1.73</v>
      </c>
      <c r="T5" s="506">
        <v>1.27</v>
      </c>
      <c r="U5" s="507">
        <v>1.21</v>
      </c>
      <c r="V5" s="383">
        <v>4.91</v>
      </c>
      <c r="W5" s="505">
        <v>1.46</v>
      </c>
      <c r="X5" s="506">
        <v>1.4400000000000004</v>
      </c>
      <c r="Y5" s="506">
        <v>1.0399999999999998</v>
      </c>
      <c r="Z5" s="507">
        <v>0.97</v>
      </c>
      <c r="AA5" s="383">
        <v>5.3968030000000002</v>
      </c>
      <c r="AB5" s="505">
        <v>1.4087710000000002</v>
      </c>
      <c r="AC5" s="506">
        <v>1.44</v>
      </c>
      <c r="AD5" s="506">
        <v>1.3</v>
      </c>
      <c r="AE5" s="507">
        <v>1.25</v>
      </c>
      <c r="AF5" s="383">
        <v>5.45</v>
      </c>
      <c r="AG5" s="505">
        <v>1.19</v>
      </c>
      <c r="AH5" s="506">
        <v>1.26</v>
      </c>
      <c r="AI5" s="506">
        <v>1.48</v>
      </c>
      <c r="AJ5" s="507">
        <v>1.52</v>
      </c>
    </row>
    <row r="6" spans="2:36" ht="30" customHeight="1">
      <c r="C6" s="381" t="s">
        <v>134</v>
      </c>
      <c r="D6" s="382" t="s">
        <v>3</v>
      </c>
      <c r="E6" s="661">
        <v>3.33</v>
      </c>
      <c r="F6" s="507">
        <v>3.82</v>
      </c>
      <c r="G6" s="587">
        <v>16.21</v>
      </c>
      <c r="H6" s="591">
        <v>4.3</v>
      </c>
      <c r="I6" s="539">
        <v>4.3499999999999996</v>
      </c>
      <c r="J6" s="505">
        <v>3.62</v>
      </c>
      <c r="K6" s="507">
        <v>3.9350000000000001</v>
      </c>
      <c r="L6" s="383">
        <v>18.41</v>
      </c>
      <c r="M6" s="505">
        <v>4.3800000000000008</v>
      </c>
      <c r="N6" s="506">
        <v>4.5699999999999985</v>
      </c>
      <c r="O6" s="506">
        <v>4.5599999999999996</v>
      </c>
      <c r="P6" s="507">
        <v>4.8899999999999997</v>
      </c>
      <c r="Q6" s="383">
        <v>16.8</v>
      </c>
      <c r="R6" s="505">
        <v>4.3500000000000014</v>
      </c>
      <c r="S6" s="506">
        <v>4</v>
      </c>
      <c r="T6" s="506">
        <v>4.1399999999999997</v>
      </c>
      <c r="U6" s="507">
        <v>4.3099999999999996</v>
      </c>
      <c r="V6" s="383">
        <v>18.559999999999999</v>
      </c>
      <c r="W6" s="505">
        <v>4.759999999999998</v>
      </c>
      <c r="X6" s="506">
        <v>5.0400000000000009</v>
      </c>
      <c r="Y6" s="506">
        <v>4.3599999999999994</v>
      </c>
      <c r="Z6" s="507">
        <v>4.4000000000000004</v>
      </c>
      <c r="AA6" s="383">
        <v>15.370999407999999</v>
      </c>
      <c r="AB6" s="505">
        <v>4.1051981819999988</v>
      </c>
      <c r="AC6" s="506">
        <v>3.77</v>
      </c>
      <c r="AD6" s="506">
        <v>3.59</v>
      </c>
      <c r="AE6" s="507">
        <v>3.69</v>
      </c>
      <c r="AF6" s="383">
        <v>19.39</v>
      </c>
      <c r="AG6" s="505">
        <v>5.1100000000000003</v>
      </c>
      <c r="AH6" s="506">
        <v>4.53</v>
      </c>
      <c r="AI6" s="506">
        <v>4.5999999999999996</v>
      </c>
      <c r="AJ6" s="507">
        <v>5.15</v>
      </c>
    </row>
    <row r="7" spans="2:36" ht="30" customHeight="1">
      <c r="B7" s="595"/>
      <c r="C7" s="384" t="s">
        <v>122</v>
      </c>
      <c r="D7" s="385" t="s">
        <v>3</v>
      </c>
      <c r="E7" s="662">
        <v>0.3</v>
      </c>
      <c r="F7" s="510">
        <v>0.39</v>
      </c>
      <c r="G7" s="588">
        <v>0.97</v>
      </c>
      <c r="H7" s="592">
        <v>0.28000000000000003</v>
      </c>
      <c r="I7" s="540">
        <v>0.18</v>
      </c>
      <c r="J7" s="508">
        <v>0.26600000000000001</v>
      </c>
      <c r="K7" s="510">
        <v>0.24</v>
      </c>
      <c r="L7" s="386">
        <f t="shared" ref="L7" si="0">SUM(L8:L10)</f>
        <v>1.2999999999999998</v>
      </c>
      <c r="M7" s="508">
        <v>0.35999999999999988</v>
      </c>
      <c r="N7" s="509">
        <v>0.27999999999999992</v>
      </c>
      <c r="O7" s="509">
        <v>0.33</v>
      </c>
      <c r="P7" s="510">
        <f>SUM(P8:P10)</f>
        <v>0.32791900000000002</v>
      </c>
      <c r="Q7" s="386">
        <f t="shared" ref="Q7" si="1">SUM(Q8:Q10)</f>
        <v>1.3220000000000001</v>
      </c>
      <c r="R7" s="508">
        <v>0.32200000000000006</v>
      </c>
      <c r="S7" s="509">
        <v>0.22999999999999998</v>
      </c>
      <c r="T7" s="509">
        <v>0.36000000000000004</v>
      </c>
      <c r="U7" s="510">
        <v>0.41</v>
      </c>
      <c r="V7" s="386">
        <v>1.63</v>
      </c>
      <c r="W7" s="508">
        <v>0.42999999999999994</v>
      </c>
      <c r="X7" s="509">
        <v>0.22999999999999998</v>
      </c>
      <c r="Y7" s="509">
        <v>0.44</v>
      </c>
      <c r="Z7" s="510">
        <v>0.54</v>
      </c>
      <c r="AA7" s="386">
        <v>1.7895214260000003</v>
      </c>
      <c r="AB7" s="508">
        <v>0.46353000700000035</v>
      </c>
      <c r="AC7" s="509">
        <v>0.42</v>
      </c>
      <c r="AD7" s="509">
        <v>0.44</v>
      </c>
      <c r="AE7" s="510">
        <v>0.47</v>
      </c>
      <c r="AF7" s="386">
        <v>1.38</v>
      </c>
      <c r="AG7" s="508">
        <v>0.47</v>
      </c>
      <c r="AH7" s="509">
        <v>0.31</v>
      </c>
      <c r="AI7" s="509">
        <v>0.32</v>
      </c>
      <c r="AJ7" s="510">
        <v>0.28000000000000003</v>
      </c>
    </row>
    <row r="8" spans="2:36" ht="23.25" customHeight="1">
      <c r="B8" s="595"/>
      <c r="C8" s="387" t="s">
        <v>123</v>
      </c>
      <c r="D8" s="388" t="s">
        <v>3</v>
      </c>
      <c r="E8" s="663">
        <v>0.08</v>
      </c>
      <c r="F8" s="513">
        <v>0.09</v>
      </c>
      <c r="G8" s="589">
        <v>0.25</v>
      </c>
      <c r="H8" s="593">
        <v>0.1</v>
      </c>
      <c r="I8" s="541">
        <v>0.04</v>
      </c>
      <c r="J8" s="511">
        <v>0.09</v>
      </c>
      <c r="K8" s="513">
        <v>2.3E-2</v>
      </c>
      <c r="L8" s="389">
        <v>0.34799999999999998</v>
      </c>
      <c r="M8" s="511">
        <v>5.7999999999999996E-2</v>
      </c>
      <c r="N8" s="512">
        <v>0.10999999999999999</v>
      </c>
      <c r="O8" s="512">
        <v>7.9999999999999988E-2</v>
      </c>
      <c r="P8" s="513">
        <v>0.1</v>
      </c>
      <c r="Q8" s="390">
        <v>0.496</v>
      </c>
      <c r="R8" s="511">
        <v>4.5999999999999985E-2</v>
      </c>
      <c r="S8" s="512">
        <v>8.0000000000000016E-2</v>
      </c>
      <c r="T8" s="512">
        <v>0.16999999999999998</v>
      </c>
      <c r="U8" s="513">
        <v>0.2</v>
      </c>
      <c r="V8" s="499">
        <v>0.81799999999999995</v>
      </c>
      <c r="W8" s="511">
        <v>0.20799999999999996</v>
      </c>
      <c r="X8" s="512">
        <v>9.9999999999999978E-2</v>
      </c>
      <c r="Y8" s="512">
        <v>0.22000000000000003</v>
      </c>
      <c r="Z8" s="513">
        <v>0.28999999999999998</v>
      </c>
      <c r="AA8" s="499">
        <v>1.0375974620000001</v>
      </c>
      <c r="AB8" s="511">
        <v>0.27745330400000012</v>
      </c>
      <c r="AC8" s="512">
        <v>0.22</v>
      </c>
      <c r="AD8" s="512">
        <v>0.26</v>
      </c>
      <c r="AE8" s="513">
        <v>0.27</v>
      </c>
      <c r="AF8" s="499">
        <v>0.77</v>
      </c>
      <c r="AG8" s="511">
        <v>0.27</v>
      </c>
      <c r="AH8" s="512">
        <v>0.18</v>
      </c>
      <c r="AI8" s="512">
        <v>0.15</v>
      </c>
      <c r="AJ8" s="513">
        <v>0.16</v>
      </c>
    </row>
    <row r="9" spans="2:36" ht="22.5" customHeight="1">
      <c r="B9" s="595"/>
      <c r="C9" s="387" t="s">
        <v>124</v>
      </c>
      <c r="D9" s="388" t="s">
        <v>3</v>
      </c>
      <c r="E9" s="663">
        <v>0.13</v>
      </c>
      <c r="F9" s="513">
        <v>0.12</v>
      </c>
      <c r="G9" s="589">
        <v>0.31</v>
      </c>
      <c r="H9" s="593">
        <v>0.05</v>
      </c>
      <c r="I9" s="541">
        <v>0.06</v>
      </c>
      <c r="J9" s="511">
        <v>8.3000000000000004E-2</v>
      </c>
      <c r="K9" s="513">
        <v>0.107</v>
      </c>
      <c r="L9" s="389">
        <v>0.433</v>
      </c>
      <c r="M9" s="511">
        <v>0.13300000000000001</v>
      </c>
      <c r="N9" s="512">
        <v>0.08</v>
      </c>
      <c r="O9" s="512">
        <v>0.129389</v>
      </c>
      <c r="P9" s="513">
        <v>0.10061100000000001</v>
      </c>
      <c r="Q9" s="390">
        <v>0.38300000000000001</v>
      </c>
      <c r="R9" s="511">
        <v>0.123</v>
      </c>
      <c r="S9" s="512">
        <v>0.08</v>
      </c>
      <c r="T9" s="512">
        <v>0.1</v>
      </c>
      <c r="U9" s="513">
        <v>0.09</v>
      </c>
      <c r="V9" s="499">
        <v>0.316</v>
      </c>
      <c r="W9" s="511">
        <v>0.06</v>
      </c>
      <c r="X9" s="512">
        <v>3.5000000000000003E-2</v>
      </c>
      <c r="Y9" s="512">
        <v>0.110348</v>
      </c>
      <c r="Z9" s="513">
        <v>0.11</v>
      </c>
      <c r="AA9" s="499">
        <v>0.37839795000000009</v>
      </c>
      <c r="AB9" s="511">
        <v>8.567395000000011E-2</v>
      </c>
      <c r="AC9" s="512">
        <v>0.12</v>
      </c>
      <c r="AD9" s="512">
        <v>0.1</v>
      </c>
      <c r="AE9" s="513">
        <v>0.2</v>
      </c>
      <c r="AF9" s="499">
        <v>0.37</v>
      </c>
      <c r="AG9" s="511">
        <v>7.0000000000000007E-2</v>
      </c>
      <c r="AH9" s="512">
        <v>7.0000000000000007E-2</v>
      </c>
      <c r="AI9" s="512">
        <v>0.14000000000000001</v>
      </c>
      <c r="AJ9" s="513">
        <v>0.09</v>
      </c>
    </row>
    <row r="10" spans="2:36" ht="24" customHeight="1">
      <c r="B10" s="595"/>
      <c r="C10" s="391" t="s">
        <v>125</v>
      </c>
      <c r="D10" s="392" t="s">
        <v>3</v>
      </c>
      <c r="E10" s="664">
        <v>0.1</v>
      </c>
      <c r="F10" s="516">
        <v>0.17</v>
      </c>
      <c r="G10" s="590">
        <v>0.41</v>
      </c>
      <c r="H10" s="594">
        <v>0.13</v>
      </c>
      <c r="I10" s="542">
        <v>0.08</v>
      </c>
      <c r="J10" s="514">
        <v>9.2999999999999999E-2</v>
      </c>
      <c r="K10" s="516">
        <v>0.11</v>
      </c>
      <c r="L10" s="393">
        <v>0.51900000000000002</v>
      </c>
      <c r="M10" s="514">
        <v>0.17899999999999999</v>
      </c>
      <c r="N10" s="515">
        <v>0.1</v>
      </c>
      <c r="O10" s="515">
        <v>0.122692</v>
      </c>
      <c r="P10" s="516">
        <v>0.127308</v>
      </c>
      <c r="Q10" s="394">
        <v>0.443</v>
      </c>
      <c r="R10" s="514">
        <v>0.15300000000000002</v>
      </c>
      <c r="S10" s="515">
        <v>0.08</v>
      </c>
      <c r="T10" s="515">
        <v>0.09</v>
      </c>
      <c r="U10" s="516">
        <v>0.13</v>
      </c>
      <c r="V10" s="500">
        <v>0.495</v>
      </c>
      <c r="W10" s="514">
        <v>0.16199999999999998</v>
      </c>
      <c r="X10" s="515">
        <v>9.2000000000000026E-2</v>
      </c>
      <c r="Y10" s="515">
        <v>0.102116</v>
      </c>
      <c r="Z10" s="516">
        <v>0.14000000000000001</v>
      </c>
      <c r="AA10" s="500">
        <v>0.37352601400000002</v>
      </c>
      <c r="AB10" s="514">
        <v>0.10040269900000004</v>
      </c>
      <c r="AC10" s="515">
        <v>7.0000000000000007E-2</v>
      </c>
      <c r="AD10" s="515">
        <v>0.08</v>
      </c>
      <c r="AE10" s="516">
        <v>0.13</v>
      </c>
      <c r="AF10" s="500">
        <v>0.24</v>
      </c>
      <c r="AG10" s="514">
        <v>0.13</v>
      </c>
      <c r="AH10" s="515">
        <v>0.06</v>
      </c>
      <c r="AI10" s="515">
        <v>0.02</v>
      </c>
      <c r="AJ10" s="516">
        <v>0.03</v>
      </c>
    </row>
    <row r="11" spans="2:36" ht="30" customHeight="1">
      <c r="B11" s="595"/>
      <c r="C11" s="381" t="s">
        <v>126</v>
      </c>
      <c r="D11" s="382" t="s">
        <v>121</v>
      </c>
      <c r="E11" s="661">
        <v>1.66</v>
      </c>
      <c r="F11" s="507">
        <v>4.76</v>
      </c>
      <c r="G11" s="587">
        <v>11.29</v>
      </c>
      <c r="H11" s="591">
        <v>3.86</v>
      </c>
      <c r="I11" s="539">
        <v>0.7</v>
      </c>
      <c r="J11" s="505">
        <v>1.05</v>
      </c>
      <c r="K11" s="507">
        <v>5.68</v>
      </c>
      <c r="L11" s="383">
        <v>12.2</v>
      </c>
      <c r="M11" s="505">
        <v>4.2899999999999991</v>
      </c>
      <c r="N11" s="506">
        <v>0.82000000000000028</v>
      </c>
      <c r="O11" s="506">
        <v>1.8</v>
      </c>
      <c r="P11" s="507">
        <v>5.3</v>
      </c>
      <c r="Q11" s="383">
        <v>11.52</v>
      </c>
      <c r="R11" s="505">
        <v>4.5199999999999996</v>
      </c>
      <c r="S11" s="506">
        <v>0.57000000000000028</v>
      </c>
      <c r="T11" s="506">
        <v>1.5899999999999999</v>
      </c>
      <c r="U11" s="507">
        <v>4.84</v>
      </c>
      <c r="V11" s="383">
        <v>11.51</v>
      </c>
      <c r="W11" s="505">
        <v>3.92</v>
      </c>
      <c r="X11" s="506">
        <v>0.75</v>
      </c>
      <c r="Y11" s="506">
        <v>1.67</v>
      </c>
      <c r="Z11" s="507">
        <v>5.17</v>
      </c>
      <c r="AA11" s="383">
        <v>13.413327984875172</v>
      </c>
      <c r="AB11" s="505">
        <v>4.6377297848751731</v>
      </c>
      <c r="AC11" s="506">
        <v>0.95</v>
      </c>
      <c r="AD11" s="506">
        <v>1.9</v>
      </c>
      <c r="AE11" s="507">
        <v>5.92</v>
      </c>
      <c r="AF11" s="383">
        <v>15.62</v>
      </c>
      <c r="AG11" s="505">
        <v>5.03</v>
      </c>
      <c r="AH11" s="506">
        <v>1.1599999999999999</v>
      </c>
      <c r="AI11" s="506">
        <v>1.94</v>
      </c>
      <c r="AJ11" s="507">
        <v>7.49</v>
      </c>
    </row>
    <row r="12" spans="2:36" ht="30" customHeight="1">
      <c r="C12" s="381" t="s">
        <v>127</v>
      </c>
      <c r="D12" s="382" t="s">
        <v>3</v>
      </c>
      <c r="E12" s="661">
        <v>12.54</v>
      </c>
      <c r="F12" s="507">
        <v>13.54</v>
      </c>
      <c r="G12" s="587">
        <v>51.97</v>
      </c>
      <c r="H12" s="539">
        <v>13.13</v>
      </c>
      <c r="I12" s="539">
        <v>12.83</v>
      </c>
      <c r="J12" s="505">
        <v>12.59</v>
      </c>
      <c r="K12" s="507">
        <v>13.42</v>
      </c>
      <c r="L12" s="383">
        <v>51.37</v>
      </c>
      <c r="M12" s="505">
        <v>13.059999999999995</v>
      </c>
      <c r="N12" s="506">
        <v>12.610000000000003</v>
      </c>
      <c r="O12" s="506">
        <v>12.4</v>
      </c>
      <c r="P12" s="507">
        <v>13.31</v>
      </c>
      <c r="Q12" s="383">
        <v>49.68</v>
      </c>
      <c r="R12" s="505">
        <v>12.86</v>
      </c>
      <c r="S12" s="506">
        <v>12.05</v>
      </c>
      <c r="T12" s="506">
        <v>12.04</v>
      </c>
      <c r="U12" s="507">
        <v>12.73</v>
      </c>
      <c r="V12" s="383">
        <v>49.2</v>
      </c>
      <c r="W12" s="505">
        <v>12.510000000000005</v>
      </c>
      <c r="X12" s="506">
        <v>12.099999999999998</v>
      </c>
      <c r="Y12" s="506">
        <v>12.09</v>
      </c>
      <c r="Z12" s="507">
        <v>12.5</v>
      </c>
      <c r="AA12" s="383">
        <v>47.904408326400002</v>
      </c>
      <c r="AB12" s="505">
        <v>12.162171326399999</v>
      </c>
      <c r="AC12" s="506">
        <v>11.86</v>
      </c>
      <c r="AD12" s="506">
        <v>11.63</v>
      </c>
      <c r="AE12" s="507">
        <v>12.25</v>
      </c>
      <c r="AF12" s="383">
        <v>47.9</v>
      </c>
      <c r="AG12" s="505">
        <v>12.18</v>
      </c>
      <c r="AH12" s="506">
        <v>11.74</v>
      </c>
      <c r="AI12" s="506">
        <v>11.56</v>
      </c>
      <c r="AJ12" s="507">
        <v>12.42</v>
      </c>
    </row>
    <row r="13" spans="2:36" ht="30" customHeight="1">
      <c r="C13" s="381" t="s">
        <v>128</v>
      </c>
      <c r="D13" s="382" t="s">
        <v>3</v>
      </c>
      <c r="E13" s="661">
        <v>8.1</v>
      </c>
      <c r="F13" s="507">
        <v>8.93</v>
      </c>
      <c r="G13" s="587">
        <v>34.520000000000003</v>
      </c>
      <c r="H13" s="539">
        <v>9.15</v>
      </c>
      <c r="I13" s="539">
        <v>8.17</v>
      </c>
      <c r="J13" s="505">
        <v>7.93</v>
      </c>
      <c r="K13" s="507">
        <v>9.2781699999999994</v>
      </c>
      <c r="L13" s="383">
        <v>34.94</v>
      </c>
      <c r="M13" s="505">
        <v>9.39</v>
      </c>
      <c r="N13" s="506">
        <v>8.3499999999999979</v>
      </c>
      <c r="O13" s="506">
        <v>8.08</v>
      </c>
      <c r="P13" s="507">
        <v>9.1199999999999992</v>
      </c>
      <c r="Q13" s="383">
        <v>32.04</v>
      </c>
      <c r="R13" s="505">
        <v>8.8499999999999979</v>
      </c>
      <c r="S13" s="506">
        <v>7.6100000000000012</v>
      </c>
      <c r="T13" s="506">
        <v>7.2200000000000006</v>
      </c>
      <c r="U13" s="507">
        <v>8.3699999999999992</v>
      </c>
      <c r="V13" s="383">
        <v>35.94</v>
      </c>
      <c r="W13" s="505">
        <v>9.48</v>
      </c>
      <c r="X13" s="506">
        <v>8.43</v>
      </c>
      <c r="Y13" s="506">
        <v>8.58</v>
      </c>
      <c r="Z13" s="507">
        <v>9.0500000000000007</v>
      </c>
      <c r="AA13" s="383">
        <v>36.433367670000003</v>
      </c>
      <c r="AB13" s="505">
        <v>9.6566086700000042</v>
      </c>
      <c r="AC13" s="506">
        <v>8.58</v>
      </c>
      <c r="AD13" s="506">
        <v>8.5399999999999991</v>
      </c>
      <c r="AE13" s="507">
        <v>10.17</v>
      </c>
      <c r="AF13" s="383">
        <v>41.3</v>
      </c>
      <c r="AG13" s="505">
        <v>10.59</v>
      </c>
      <c r="AH13" s="506">
        <v>9.85</v>
      </c>
      <c r="AI13" s="506">
        <v>9.92</v>
      </c>
      <c r="AJ13" s="507">
        <v>10.94</v>
      </c>
    </row>
    <row r="14" spans="2:36" ht="30" customHeight="1">
      <c r="C14" s="381" t="s">
        <v>129</v>
      </c>
      <c r="D14" s="382" t="s">
        <v>132</v>
      </c>
      <c r="E14" s="543">
        <v>5627</v>
      </c>
      <c r="F14" s="543">
        <v>5612</v>
      </c>
      <c r="G14" s="543">
        <v>5598</v>
      </c>
      <c r="H14" s="543">
        <v>5598</v>
      </c>
      <c r="I14" s="543">
        <v>5579</v>
      </c>
      <c r="J14" s="527">
        <v>5563</v>
      </c>
      <c r="K14" s="529">
        <v>5546</v>
      </c>
      <c r="L14" s="395">
        <v>5532.6809999999996</v>
      </c>
      <c r="M14" s="527">
        <v>5532.6809999999996</v>
      </c>
      <c r="N14" s="528">
        <v>5517</v>
      </c>
      <c r="O14" s="528">
        <v>5501</v>
      </c>
      <c r="P14" s="529">
        <v>5487.4</v>
      </c>
      <c r="Q14" s="395">
        <v>5473.9970000000003</v>
      </c>
      <c r="R14" s="527">
        <v>5473.9970000000003</v>
      </c>
      <c r="S14" s="528">
        <v>5458</v>
      </c>
      <c r="T14" s="528">
        <v>5446</v>
      </c>
      <c r="U14" s="529">
        <v>5431</v>
      </c>
      <c r="V14" s="395">
        <v>5418</v>
      </c>
      <c r="W14" s="527">
        <v>5418</v>
      </c>
      <c r="X14" s="528">
        <v>5404</v>
      </c>
      <c r="Y14" s="528">
        <v>5392</v>
      </c>
      <c r="Z14" s="529">
        <v>5383</v>
      </c>
      <c r="AA14" s="395">
        <v>5377.7340000000004</v>
      </c>
      <c r="AB14" s="527">
        <v>5377.7340000000004</v>
      </c>
      <c r="AC14" s="517">
        <v>5369</v>
      </c>
      <c r="AD14" s="517">
        <v>5359</v>
      </c>
      <c r="AE14" s="518">
        <v>5354</v>
      </c>
      <c r="AF14" s="395">
        <v>5334</v>
      </c>
      <c r="AG14" s="527">
        <v>5334</v>
      </c>
      <c r="AH14" s="517">
        <v>5324</v>
      </c>
      <c r="AI14" s="517">
        <v>5313</v>
      </c>
      <c r="AJ14" s="518">
        <v>5307</v>
      </c>
    </row>
    <row r="15" spans="2:36" ht="34.5" customHeight="1">
      <c r="C15" s="376" t="s">
        <v>428</v>
      </c>
      <c r="D15" s="365"/>
      <c r="E15" s="370"/>
      <c r="F15" s="370"/>
      <c r="G15" s="365"/>
      <c r="H15" s="365"/>
      <c r="I15" s="370"/>
      <c r="J15" s="370"/>
      <c r="K15" s="370"/>
      <c r="L15" s="369"/>
      <c r="M15" s="370"/>
      <c r="N15" s="370"/>
      <c r="O15" s="371"/>
      <c r="P15" s="368"/>
      <c r="Q15" s="369"/>
      <c r="R15" s="370"/>
      <c r="S15" s="370"/>
      <c r="T15" s="371"/>
      <c r="U15" s="368"/>
      <c r="V15" s="367"/>
      <c r="W15" s="370"/>
      <c r="X15" s="370"/>
      <c r="Y15" s="366"/>
      <c r="Z15" s="368"/>
      <c r="AA15" s="369"/>
      <c r="AB15" s="367"/>
      <c r="AC15" s="367"/>
      <c r="AD15" s="373"/>
      <c r="AE15" s="374"/>
      <c r="AF15" s="403"/>
      <c r="AG15" s="375"/>
      <c r="AH15" s="375"/>
      <c r="AI15" s="373"/>
      <c r="AJ15" s="374"/>
    </row>
    <row r="16" spans="2:36" ht="36" customHeight="1">
      <c r="C16" s="396"/>
      <c r="D16" s="396"/>
      <c r="E16" s="660" t="s">
        <v>985</v>
      </c>
      <c r="F16" s="504" t="s">
        <v>961</v>
      </c>
      <c r="G16" s="397">
        <v>2018</v>
      </c>
      <c r="H16" s="538" t="s">
        <v>929</v>
      </c>
      <c r="I16" s="538" t="s">
        <v>894</v>
      </c>
      <c r="J16" s="501" t="s">
        <v>846</v>
      </c>
      <c r="K16" s="504" t="s">
        <v>828</v>
      </c>
      <c r="L16" s="397">
        <v>2017</v>
      </c>
      <c r="M16" s="501" t="s">
        <v>829</v>
      </c>
      <c r="N16" s="502" t="s">
        <v>830</v>
      </c>
      <c r="O16" s="503" t="s">
        <v>831</v>
      </c>
      <c r="P16" s="504" t="s">
        <v>832</v>
      </c>
      <c r="Q16" s="397">
        <v>2016</v>
      </c>
      <c r="R16" s="501" t="s">
        <v>833</v>
      </c>
      <c r="S16" s="502" t="s">
        <v>834</v>
      </c>
      <c r="T16" s="503" t="s">
        <v>835</v>
      </c>
      <c r="U16" s="504" t="s">
        <v>836</v>
      </c>
      <c r="V16" s="397">
        <v>2015</v>
      </c>
      <c r="W16" s="501" t="s">
        <v>837</v>
      </c>
      <c r="X16" s="502" t="s">
        <v>431</v>
      </c>
      <c r="Y16" s="503" t="s">
        <v>838</v>
      </c>
      <c r="Z16" s="504" t="s">
        <v>839</v>
      </c>
      <c r="AA16" s="397">
        <v>2014</v>
      </c>
      <c r="AB16" s="501" t="s">
        <v>840</v>
      </c>
      <c r="AC16" s="502" t="s">
        <v>397</v>
      </c>
      <c r="AD16" s="503" t="s">
        <v>841</v>
      </c>
      <c r="AE16" s="504" t="s">
        <v>842</v>
      </c>
      <c r="AF16" s="397">
        <v>2013</v>
      </c>
      <c r="AG16" s="501" t="s">
        <v>843</v>
      </c>
      <c r="AH16" s="502" t="s">
        <v>844</v>
      </c>
      <c r="AI16" s="503" t="s">
        <v>400</v>
      </c>
      <c r="AJ16" s="504" t="s">
        <v>845</v>
      </c>
    </row>
    <row r="17" spans="3:36" ht="39" customHeight="1">
      <c r="C17" s="384" t="s">
        <v>130</v>
      </c>
      <c r="D17" s="385" t="s">
        <v>133</v>
      </c>
      <c r="E17" s="665">
        <v>0.99</v>
      </c>
      <c r="F17" s="530">
        <v>1.2</v>
      </c>
      <c r="G17" s="588">
        <v>4.87</v>
      </c>
      <c r="H17" s="588">
        <v>1.33</v>
      </c>
      <c r="I17" s="544">
        <v>1.04</v>
      </c>
      <c r="J17" s="521">
        <v>1.07</v>
      </c>
      <c r="K17" s="530">
        <v>1.43</v>
      </c>
      <c r="L17" s="398">
        <f t="shared" ref="L17" si="2">SUM(L18:L19)</f>
        <v>6.7715999999999994</v>
      </c>
      <c r="M17" s="521">
        <v>1.7615999999999996</v>
      </c>
      <c r="N17" s="522">
        <v>1.4499999999999997</v>
      </c>
      <c r="O17" s="522">
        <v>1.77</v>
      </c>
      <c r="P17" s="530">
        <v>1.79</v>
      </c>
      <c r="Q17" s="398">
        <f t="shared" ref="Q17" si="3">SUM(Q18:Q19)</f>
        <v>6.0625</v>
      </c>
      <c r="R17" s="521">
        <v>1.9625000000000004</v>
      </c>
      <c r="S17" s="522">
        <v>1.6399999999999997</v>
      </c>
      <c r="T17" s="522">
        <v>1.24</v>
      </c>
      <c r="U17" s="530">
        <v>1.22</v>
      </c>
      <c r="V17" s="398">
        <v>5.0860000000000003</v>
      </c>
      <c r="W17" s="521">
        <v>1.4260000000000002</v>
      </c>
      <c r="X17" s="522">
        <v>1.37</v>
      </c>
      <c r="Y17" s="522">
        <v>1.1500000000000001</v>
      </c>
      <c r="Z17" s="530">
        <v>1.1399999999999999</v>
      </c>
      <c r="AA17" s="398">
        <v>4.8798987900000004</v>
      </c>
      <c r="AB17" s="521">
        <v>1.3474747900000006</v>
      </c>
      <c r="AC17" s="522">
        <v>1.34</v>
      </c>
      <c r="AD17" s="509">
        <v>1.18</v>
      </c>
      <c r="AE17" s="510">
        <v>1.01</v>
      </c>
      <c r="AF17" s="386">
        <v>5.48</v>
      </c>
      <c r="AG17" s="508">
        <v>1.2</v>
      </c>
      <c r="AH17" s="509">
        <v>1.33</v>
      </c>
      <c r="AI17" s="509">
        <v>1.45</v>
      </c>
      <c r="AJ17" s="510">
        <v>1.51</v>
      </c>
    </row>
    <row r="18" spans="3:36" ht="36.75" customHeight="1">
      <c r="C18" s="399" t="s">
        <v>467</v>
      </c>
      <c r="D18" s="388" t="s">
        <v>133</v>
      </c>
      <c r="E18" s="666">
        <v>0.82</v>
      </c>
      <c r="F18" s="531">
        <v>0.93</v>
      </c>
      <c r="G18" s="589">
        <v>3.68</v>
      </c>
      <c r="H18" s="589">
        <v>1.08</v>
      </c>
      <c r="I18" s="545">
        <v>0.94</v>
      </c>
      <c r="J18" s="523">
        <v>0.71</v>
      </c>
      <c r="K18" s="531">
        <v>0.95</v>
      </c>
      <c r="L18" s="400">
        <v>4.8895999999999997</v>
      </c>
      <c r="M18" s="523">
        <v>1.4845999999999999</v>
      </c>
      <c r="N18" s="524">
        <v>1.18</v>
      </c>
      <c r="O18" s="524">
        <v>1.1200000000000001</v>
      </c>
      <c r="P18" s="531">
        <v>1.29</v>
      </c>
      <c r="Q18" s="400">
        <v>4.657</v>
      </c>
      <c r="R18" s="523">
        <v>1.4790000000000001</v>
      </c>
      <c r="S18" s="524">
        <v>1.278</v>
      </c>
      <c r="T18" s="524">
        <v>0.91799999999999993</v>
      </c>
      <c r="U18" s="531">
        <v>0.98199999999999998</v>
      </c>
      <c r="V18" s="400">
        <v>3.76</v>
      </c>
      <c r="W18" s="523">
        <v>1.0699999999999998</v>
      </c>
      <c r="X18" s="524">
        <v>0.98</v>
      </c>
      <c r="Y18" s="524">
        <v>0.876</v>
      </c>
      <c r="Z18" s="531">
        <v>0.83</v>
      </c>
      <c r="AA18" s="400">
        <v>3.5229002200000004</v>
      </c>
      <c r="AB18" s="523">
        <v>0.99129805000000015</v>
      </c>
      <c r="AC18" s="524">
        <v>0.93</v>
      </c>
      <c r="AD18" s="512">
        <v>0.88</v>
      </c>
      <c r="AE18" s="513">
        <v>0.72</v>
      </c>
      <c r="AF18" s="499">
        <v>3.67</v>
      </c>
      <c r="AG18" s="511">
        <v>0.79</v>
      </c>
      <c r="AH18" s="512">
        <v>0.83</v>
      </c>
      <c r="AI18" s="512">
        <v>0.94</v>
      </c>
      <c r="AJ18" s="519">
        <v>1.1100000000000001</v>
      </c>
    </row>
    <row r="19" spans="3:36" ht="37.5" customHeight="1">
      <c r="C19" s="401" t="s">
        <v>466</v>
      </c>
      <c r="D19" s="392" t="s">
        <v>133</v>
      </c>
      <c r="E19" s="667">
        <v>0.17000000000000004</v>
      </c>
      <c r="F19" s="532">
        <v>0.27</v>
      </c>
      <c r="G19" s="590">
        <v>1.19</v>
      </c>
      <c r="H19" s="590">
        <v>0.25</v>
      </c>
      <c r="I19" s="546">
        <v>0.1</v>
      </c>
      <c r="J19" s="525">
        <v>0.36</v>
      </c>
      <c r="K19" s="532">
        <v>0.48</v>
      </c>
      <c r="L19" s="402">
        <v>1.8819999999999999</v>
      </c>
      <c r="M19" s="525">
        <v>0.27699999999999991</v>
      </c>
      <c r="N19" s="526">
        <v>0.27</v>
      </c>
      <c r="O19" s="526">
        <v>0.64999999999999991</v>
      </c>
      <c r="P19" s="532">
        <v>0.5</v>
      </c>
      <c r="Q19" s="402">
        <v>1.4055</v>
      </c>
      <c r="R19" s="525">
        <v>0.48350000000000026</v>
      </c>
      <c r="S19" s="526">
        <v>0.36199999999999966</v>
      </c>
      <c r="T19" s="526">
        <v>0.32200000000000006</v>
      </c>
      <c r="U19" s="532">
        <v>0.23799999999999999</v>
      </c>
      <c r="V19" s="402">
        <v>1.3260000000000001</v>
      </c>
      <c r="W19" s="525">
        <v>0.35600000000000009</v>
      </c>
      <c r="X19" s="526">
        <v>0.3899999999999999</v>
      </c>
      <c r="Y19" s="526">
        <v>0.27400000000000008</v>
      </c>
      <c r="Z19" s="532">
        <v>0.30999999999999994</v>
      </c>
      <c r="AA19" s="402">
        <v>1.3569985699999998</v>
      </c>
      <c r="AB19" s="525">
        <v>0.35617672999999983</v>
      </c>
      <c r="AC19" s="526">
        <v>0.42</v>
      </c>
      <c r="AD19" s="515">
        <v>0.3</v>
      </c>
      <c r="AE19" s="516">
        <v>0.28999999999999998</v>
      </c>
      <c r="AF19" s="500">
        <v>1.81</v>
      </c>
      <c r="AG19" s="514">
        <v>0.41</v>
      </c>
      <c r="AH19" s="515">
        <v>0.5</v>
      </c>
      <c r="AI19" s="515">
        <v>0.51</v>
      </c>
      <c r="AJ19" s="520">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4"/>
  <sheetViews>
    <sheetView workbookViewId="0">
      <selection activeCell="C3" sqref="C3"/>
    </sheetView>
  </sheetViews>
  <sheetFormatPr defaultColWidth="9.140625" defaultRowHeight="15"/>
  <cols>
    <col min="1" max="1" width="51.7109375" style="10" customWidth="1"/>
    <col min="2" max="2" width="25.28515625" style="10" customWidth="1"/>
    <col min="3" max="3" width="22.85546875" style="10" customWidth="1"/>
    <col min="4" max="4" width="15.7109375" style="10" customWidth="1"/>
    <col min="5" max="16384" width="9.140625" style="10"/>
  </cols>
  <sheetData>
    <row r="1" spans="1:5" ht="45" customHeight="1">
      <c r="A1" s="22" t="s">
        <v>433</v>
      </c>
      <c r="B1" s="23"/>
      <c r="C1" s="24"/>
      <c r="D1" s="67"/>
      <c r="E1" s="536"/>
    </row>
    <row r="2" spans="1:5" ht="45">
      <c r="A2" s="25" t="s">
        <v>146</v>
      </c>
      <c r="B2" s="26" t="s">
        <v>141</v>
      </c>
      <c r="C2" s="25" t="s">
        <v>142</v>
      </c>
      <c r="D2" s="25" t="s">
        <v>143</v>
      </c>
    </row>
    <row r="3" spans="1:5">
      <c r="A3" s="27" t="s">
        <v>4</v>
      </c>
      <c r="B3" s="27" t="s">
        <v>153</v>
      </c>
      <c r="C3" s="28">
        <f>C4+C5+C6</f>
        <v>1535</v>
      </c>
      <c r="D3" s="579">
        <v>390.2</v>
      </c>
    </row>
    <row r="4" spans="1:5">
      <c r="A4" s="29" t="s">
        <v>145</v>
      </c>
      <c r="B4" s="7"/>
      <c r="C4" s="547">
        <v>140</v>
      </c>
      <c r="D4" s="580"/>
    </row>
    <row r="5" spans="1:5">
      <c r="A5" s="29" t="s">
        <v>144</v>
      </c>
      <c r="B5" s="7"/>
      <c r="C5" s="548">
        <v>1345</v>
      </c>
      <c r="D5" s="580"/>
    </row>
    <row r="6" spans="1:5">
      <c r="A6" s="31" t="s">
        <v>5</v>
      </c>
      <c r="B6" s="32"/>
      <c r="C6" s="549">
        <v>50</v>
      </c>
      <c r="D6" s="580"/>
    </row>
    <row r="7" spans="1:5">
      <c r="A7" s="27" t="s">
        <v>6</v>
      </c>
      <c r="B7" s="27" t="s">
        <v>153</v>
      </c>
      <c r="C7" s="364">
        <f>C8+C9</f>
        <v>1155</v>
      </c>
      <c r="D7" s="579">
        <v>196</v>
      </c>
    </row>
    <row r="8" spans="1:5">
      <c r="A8" s="29" t="s">
        <v>147</v>
      </c>
      <c r="B8" s="7"/>
      <c r="C8" s="33">
        <v>250</v>
      </c>
      <c r="D8" s="581"/>
    </row>
    <row r="9" spans="1:5">
      <c r="A9" s="34" t="s">
        <v>148</v>
      </c>
      <c r="B9" s="19"/>
      <c r="C9" s="19">
        <v>905</v>
      </c>
      <c r="D9" s="582"/>
    </row>
    <row r="10" spans="1:5">
      <c r="A10" s="27" t="s">
        <v>7</v>
      </c>
      <c r="B10" s="27" t="s">
        <v>153</v>
      </c>
      <c r="C10" s="35">
        <f>C11+C12</f>
        <v>700</v>
      </c>
      <c r="D10" s="583">
        <v>279.2</v>
      </c>
    </row>
    <row r="11" spans="1:5">
      <c r="A11" s="29" t="s">
        <v>149</v>
      </c>
      <c r="B11" s="7"/>
      <c r="C11" s="30">
        <v>240</v>
      </c>
      <c r="D11" s="580"/>
    </row>
    <row r="12" spans="1:5">
      <c r="A12" s="29" t="s">
        <v>150</v>
      </c>
      <c r="B12" s="7"/>
      <c r="C12" s="30">
        <v>460</v>
      </c>
      <c r="D12" s="580"/>
    </row>
    <row r="13" spans="1:5">
      <c r="A13" s="36" t="s">
        <v>8</v>
      </c>
      <c r="B13" s="27" t="s">
        <v>153</v>
      </c>
      <c r="C13" s="28">
        <f>C14+C15</f>
        <v>546</v>
      </c>
      <c r="D13" s="579">
        <v>36.5</v>
      </c>
    </row>
    <row r="14" spans="1:5">
      <c r="A14" s="37" t="s">
        <v>151</v>
      </c>
      <c r="B14" s="16"/>
      <c r="C14" s="33">
        <v>306</v>
      </c>
      <c r="D14" s="581"/>
    </row>
    <row r="15" spans="1:5">
      <c r="A15" s="34" t="s">
        <v>152</v>
      </c>
      <c r="B15" s="19"/>
      <c r="C15" s="38">
        <v>240</v>
      </c>
      <c r="D15" s="582"/>
    </row>
    <row r="16" spans="1:5">
      <c r="A16" s="39" t="s">
        <v>9</v>
      </c>
      <c r="B16" s="377" t="s">
        <v>153</v>
      </c>
      <c r="C16" s="40">
        <f>C17</f>
        <v>165</v>
      </c>
      <c r="D16" s="584">
        <v>85</v>
      </c>
      <c r="E16" s="10" t="s">
        <v>154</v>
      </c>
    </row>
    <row r="17" spans="1:5">
      <c r="A17" s="41" t="s">
        <v>157</v>
      </c>
      <c r="B17" s="42"/>
      <c r="C17" s="42">
        <v>165</v>
      </c>
      <c r="D17" s="585"/>
    </row>
    <row r="18" spans="1:5">
      <c r="A18" s="27" t="s">
        <v>10</v>
      </c>
      <c r="B18" s="27" t="s">
        <v>153</v>
      </c>
      <c r="C18" s="35">
        <f>C19+C20+C21</f>
        <v>355</v>
      </c>
      <c r="D18" s="583">
        <v>335</v>
      </c>
    </row>
    <row r="19" spans="1:5" ht="15.75">
      <c r="A19" s="29" t="s">
        <v>155</v>
      </c>
      <c r="B19" s="7"/>
      <c r="C19" s="30">
        <v>240</v>
      </c>
      <c r="D19" s="43"/>
    </row>
    <row r="20" spans="1:5">
      <c r="A20" s="37" t="s">
        <v>157</v>
      </c>
      <c r="B20" s="16"/>
      <c r="C20" s="30">
        <v>60</v>
      </c>
      <c r="D20" s="44"/>
    </row>
    <row r="21" spans="1:5" ht="15.75">
      <c r="A21" s="45" t="s">
        <v>156</v>
      </c>
      <c r="B21" s="7"/>
      <c r="C21" s="30">
        <v>55</v>
      </c>
      <c r="D21" s="43"/>
    </row>
    <row r="22" spans="1:5" ht="15.75">
      <c r="A22" s="46" t="s">
        <v>116</v>
      </c>
      <c r="B22" s="47"/>
      <c r="C22" s="48">
        <f>C3+C7+C10+C13+C18</f>
        <v>4291</v>
      </c>
      <c r="D22" s="48">
        <f>D3+D7+D10+D13+D18</f>
        <v>1236.9000000000001</v>
      </c>
    </row>
    <row r="23" spans="1:5">
      <c r="A23" s="49"/>
      <c r="B23" s="49"/>
      <c r="C23" s="50"/>
      <c r="D23" s="51"/>
    </row>
    <row r="24" spans="1:5">
      <c r="A24" s="52" t="s">
        <v>158</v>
      </c>
      <c r="B24" s="52" t="s">
        <v>160</v>
      </c>
      <c r="C24" s="53">
        <v>40</v>
      </c>
      <c r="D24" s="586">
        <v>250</v>
      </c>
    </row>
    <row r="25" spans="1:5">
      <c r="A25" s="52" t="s">
        <v>100</v>
      </c>
      <c r="B25" s="52" t="s">
        <v>160</v>
      </c>
      <c r="C25" s="53">
        <v>66</v>
      </c>
      <c r="D25" s="586">
        <v>86</v>
      </c>
    </row>
    <row r="26" spans="1:5">
      <c r="A26" s="54" t="s">
        <v>11</v>
      </c>
      <c r="B26" s="52" t="s">
        <v>160</v>
      </c>
      <c r="C26" s="55">
        <v>125</v>
      </c>
      <c r="D26" s="55">
        <v>466</v>
      </c>
      <c r="E26" s="10" t="s">
        <v>154</v>
      </c>
    </row>
    <row r="27" spans="1:5">
      <c r="A27" s="56" t="s">
        <v>12</v>
      </c>
      <c r="B27" s="52" t="s">
        <v>160</v>
      </c>
      <c r="C27" s="53">
        <v>135.5</v>
      </c>
      <c r="D27" s="586">
        <v>294.29000000000002</v>
      </c>
    </row>
    <row r="28" spans="1:5">
      <c r="A28" s="56" t="s">
        <v>13</v>
      </c>
      <c r="B28" s="52" t="s">
        <v>160</v>
      </c>
      <c r="C28" s="53">
        <f>C29+C30</f>
        <v>105.82</v>
      </c>
      <c r="D28" s="586">
        <f>D29+D30</f>
        <v>383.8</v>
      </c>
    </row>
    <row r="29" spans="1:5">
      <c r="A29" s="29" t="s">
        <v>14</v>
      </c>
      <c r="B29" s="7"/>
      <c r="C29" s="57">
        <v>50.82</v>
      </c>
      <c r="D29" s="655">
        <v>182.4</v>
      </c>
    </row>
    <row r="30" spans="1:5">
      <c r="A30" s="29" t="s">
        <v>15</v>
      </c>
      <c r="B30" s="7"/>
      <c r="C30" s="33">
        <v>55</v>
      </c>
      <c r="D30" s="656">
        <v>201.4</v>
      </c>
    </row>
    <row r="31" spans="1:5" ht="33" customHeight="1">
      <c r="A31" s="378" t="s">
        <v>159</v>
      </c>
      <c r="B31" s="36"/>
      <c r="C31" s="59" t="s">
        <v>16</v>
      </c>
      <c r="D31" s="59">
        <v>145.37</v>
      </c>
    </row>
    <row r="32" spans="1:5" ht="15.75">
      <c r="A32" s="46" t="s">
        <v>117</v>
      </c>
      <c r="B32" s="47"/>
      <c r="C32" s="48">
        <f>SUM(C24:C28)-C26</f>
        <v>347.32</v>
      </c>
      <c r="D32" s="48">
        <f>SUM(D24:D28)-D26+D31</f>
        <v>1159.46</v>
      </c>
    </row>
    <row r="33" spans="1:7">
      <c r="A33" s="60"/>
      <c r="B33" s="60"/>
      <c r="C33" s="35"/>
      <c r="D33" s="61"/>
    </row>
    <row r="34" spans="1:7">
      <c r="A34" s="62" t="s">
        <v>161</v>
      </c>
      <c r="B34" s="62"/>
      <c r="C34" s="53">
        <v>132.94399999999999</v>
      </c>
      <c r="D34" s="63" t="s">
        <v>16</v>
      </c>
    </row>
    <row r="35" spans="1:7">
      <c r="A35" s="56" t="s">
        <v>162</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333.69399999999996</v>
      </c>
      <c r="D40" s="64"/>
      <c r="G40" s="296"/>
    </row>
    <row r="41" spans="1:7" ht="15.75">
      <c r="A41" s="65"/>
      <c r="B41" s="65"/>
      <c r="C41" s="536"/>
      <c r="D41" s="536"/>
    </row>
    <row r="42" spans="1:7" ht="15.75">
      <c r="A42" s="66" t="s">
        <v>163</v>
      </c>
      <c r="B42" s="65"/>
      <c r="C42" s="536"/>
      <c r="D42" s="536"/>
    </row>
    <row r="43" spans="1:7" ht="15.75">
      <c r="A43" s="66"/>
      <c r="B43" s="65"/>
      <c r="C43" s="536"/>
      <c r="D43" s="536"/>
    </row>
    <row r="44" spans="1:7" ht="15.75">
      <c r="A44" s="46" t="s">
        <v>434</v>
      </c>
      <c r="B44" s="47"/>
      <c r="C44" s="48">
        <f>C22+C32+C40</f>
        <v>4972.0139999999992</v>
      </c>
      <c r="D44" s="48">
        <f>D22+D32+D40</f>
        <v>2396.36</v>
      </c>
    </row>
  </sheetData>
  <customSheetViews>
    <customSheetView guid="{786DE933-524F-40D1-8033-C008687087FC}">
      <pageMargins left="0.7" right="0.7" top="0.75" bottom="0.75" header="0.3" footer="0.3"/>
    </customSheetView>
    <customSheetView guid="{627AEB6E-B9F1-415E-9A60-881757A50C67}">
      <selection activeCell="C3" sqref="C3"/>
      <pageMargins left="0.7" right="0.7" top="0.75" bottom="0.75" header="0.3" footer="0.3"/>
    </customSheetView>
    <customSheetView guid="{874BA5F8-BD95-4DDF-8F31-98DB154CA965}">
      <selection activeCell="F4" sqref="F4"/>
      <pageMargins left="0.7" right="0.7" top="0.75" bottom="0.75" header="0.3" footer="0.3"/>
    </customSheetView>
    <customSheetView guid="{AAA495E0-27FD-4941-85B8-9038B6AD4FA3}">
      <selection activeCell="F4" sqref="F4"/>
      <pageMargins left="0.7" right="0.7" top="0.75" bottom="0.75" header="0.3" footer="0.3"/>
    </customSheetView>
    <customSheetView guid="{77EFF5B1-32BE-4080-9902-B97F43099026}">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HH46"/>
  <sheetViews>
    <sheetView workbookViewId="0">
      <selection activeCell="P20" sqref="P20"/>
    </sheetView>
  </sheetViews>
  <sheetFormatPr defaultColWidth="9.140625" defaultRowHeight="15"/>
  <cols>
    <col min="1" max="1" width="40.7109375" style="536" customWidth="1"/>
    <col min="2" max="2" width="3.7109375" style="10" customWidth="1"/>
    <col min="3" max="3" width="21.28515625" style="10" customWidth="1"/>
    <col min="4" max="5" width="14.85546875" style="10" customWidth="1"/>
    <col min="6" max="6" width="21.85546875" style="10" customWidth="1"/>
    <col min="7" max="7" width="3.7109375" style="10" customWidth="1"/>
    <col min="8" max="8" width="21.28515625" style="10" customWidth="1"/>
    <col min="9" max="10" width="14.85546875" style="10" customWidth="1"/>
    <col min="11" max="11" width="21.85546875" style="10" customWidth="1"/>
    <col min="12" max="12" width="3.7109375" style="10" customWidth="1"/>
    <col min="13" max="13" width="21.28515625" style="10" customWidth="1"/>
    <col min="14" max="15" width="14.85546875" style="10" customWidth="1"/>
    <col min="16" max="16" width="21.85546875" style="10" customWidth="1"/>
    <col min="17" max="17" width="5.7109375" style="10" customWidth="1"/>
    <col min="18" max="18" width="21.28515625" style="602" customWidth="1"/>
    <col min="19" max="20" width="14.85546875" style="602" customWidth="1"/>
    <col min="21" max="21" width="21.85546875" style="602" customWidth="1"/>
    <col min="22" max="22" width="3.7109375" style="602" customWidth="1"/>
    <col min="23" max="23" width="21.28515625" style="602" customWidth="1"/>
    <col min="24" max="25" width="14.85546875" style="602" customWidth="1"/>
    <col min="26" max="26" width="21.85546875" style="602" customWidth="1"/>
    <col min="27" max="27" width="5.7109375" style="602" customWidth="1"/>
    <col min="28" max="28" width="21.28515625" style="602" customWidth="1"/>
    <col min="29" max="30" width="14.85546875" style="602" customWidth="1"/>
    <col min="31" max="31" width="21.85546875" style="602" customWidth="1"/>
    <col min="32" max="32" width="3.7109375" style="602" customWidth="1"/>
    <col min="33" max="33" width="21.28515625" style="602" customWidth="1"/>
    <col min="34" max="35" width="14.85546875" style="602" customWidth="1"/>
    <col min="36" max="36" width="21.85546875" style="602" customWidth="1"/>
    <col min="37" max="37" width="5.7109375" style="602" customWidth="1"/>
    <col min="38" max="38" width="21.28515625" style="306" customWidth="1"/>
    <col min="39" max="40" width="14.85546875" style="306" customWidth="1"/>
    <col min="41" max="41" width="21.85546875" style="306" customWidth="1"/>
    <col min="42" max="42" width="3.7109375" style="306" customWidth="1"/>
    <col min="43" max="43" width="21.28515625" style="306" customWidth="1"/>
    <col min="44" max="45" width="14.85546875" style="306" customWidth="1"/>
    <col min="46" max="46" width="21.85546875" style="306" customWidth="1"/>
    <col min="47" max="47" width="5.7109375" style="10" customWidth="1"/>
    <col min="48" max="48" width="21.28515625" style="10" customWidth="1"/>
    <col min="49" max="50" width="14.85546875" style="10" customWidth="1"/>
    <col min="51" max="51" width="21.85546875" style="10" customWidth="1"/>
    <col min="52" max="52" width="9.5703125" style="10" customWidth="1"/>
    <col min="53" max="53" width="21.28515625" style="10" customWidth="1"/>
    <col min="54" max="55" width="14.85546875" style="10" customWidth="1"/>
    <col min="56" max="56" width="21.7109375" style="10" customWidth="1"/>
    <col min="57" max="57" width="3.7109375" style="10" customWidth="1"/>
    <col min="58" max="58" width="21.28515625" style="10" customWidth="1"/>
    <col min="59" max="60" width="14.85546875" style="10" customWidth="1"/>
    <col min="61" max="61" width="21.85546875" style="10" customWidth="1"/>
    <col min="62" max="62" width="15" style="10" customWidth="1"/>
    <col min="63" max="63" width="21.7109375" style="10" customWidth="1"/>
    <col min="64" max="65" width="17.7109375" style="10" customWidth="1"/>
    <col min="66" max="66" width="21.7109375" style="10" customWidth="1"/>
    <col min="67" max="67" width="6.28515625" style="10" customWidth="1"/>
    <col min="68" max="68" width="21.7109375" style="10" customWidth="1"/>
    <col min="69" max="70" width="17.7109375" style="10" customWidth="1"/>
    <col min="71" max="71" width="21.7109375" style="10" customWidth="1"/>
    <col min="72" max="72" width="4.5703125" style="10" customWidth="1"/>
    <col min="73" max="73" width="21.7109375" style="10" customWidth="1"/>
    <col min="74" max="75" width="17.7109375" style="10" customWidth="1"/>
    <col min="76" max="76" width="21.7109375" style="10" customWidth="1"/>
    <col min="77" max="77" width="5.7109375" style="10" customWidth="1"/>
    <col min="78" max="78" width="21.7109375" style="10" customWidth="1"/>
    <col min="79" max="80" width="17.7109375" style="10" customWidth="1"/>
    <col min="81" max="81" width="21.7109375" style="10" customWidth="1"/>
    <col min="82" max="82" width="3.7109375" style="10" customWidth="1"/>
    <col min="83" max="83" width="21.7109375" style="10" customWidth="1"/>
    <col min="84" max="85" width="17.7109375" style="10" customWidth="1"/>
    <col min="86" max="86" width="21.7109375" style="10" customWidth="1"/>
    <col min="87" max="87" width="3.7109375" style="10" customWidth="1"/>
    <col min="88" max="88" width="21.7109375" style="10" customWidth="1"/>
    <col min="89" max="90" width="17.7109375" style="10" customWidth="1"/>
    <col min="91" max="91" width="21.7109375" style="10" customWidth="1"/>
    <col min="92" max="92" width="3.7109375" style="10" customWidth="1"/>
    <col min="93" max="93" width="21.7109375" style="10" customWidth="1"/>
    <col min="94" max="95" width="17.7109375" style="10" customWidth="1"/>
    <col min="96" max="96" width="21.7109375" style="10" customWidth="1"/>
    <col min="97" max="97" width="9.140625" style="10"/>
    <col min="98" max="98" width="21.7109375" style="10" customWidth="1"/>
    <col min="99" max="100" width="17.7109375" style="10" customWidth="1"/>
    <col min="101" max="101" width="22.7109375" style="10" customWidth="1"/>
    <col min="102" max="102" width="3.7109375" style="10" customWidth="1"/>
    <col min="103" max="103" width="22.7109375" style="10" customWidth="1"/>
    <col min="104" max="105" width="18.7109375" style="10" customWidth="1"/>
    <col min="106" max="106" width="22.7109375" style="10" customWidth="1"/>
    <col min="107" max="107" width="9.140625" style="10"/>
    <col min="108" max="108" width="22.7109375" style="10" customWidth="1"/>
    <col min="109" max="110" width="18.7109375" style="10" customWidth="1"/>
    <col min="111" max="111" width="24.5703125" style="10" customWidth="1"/>
    <col min="112" max="112" width="3.7109375" style="10" customWidth="1"/>
    <col min="113" max="113" width="22.7109375" style="10" customWidth="1"/>
    <col min="114" max="115" width="18.7109375" style="10" customWidth="1"/>
    <col min="116" max="116" width="24.5703125" style="10" customWidth="1"/>
    <col min="117" max="117" width="9.140625" style="10"/>
    <col min="118" max="118" width="22.28515625" style="10" customWidth="1"/>
    <col min="119" max="119" width="17.7109375" style="10" customWidth="1"/>
    <col min="120" max="120" width="17" style="10" customWidth="1"/>
    <col min="121" max="121" width="24" style="10" customWidth="1"/>
    <col min="122" max="122" width="9.140625" style="10"/>
    <col min="123" max="123" width="22.5703125" style="10" customWidth="1"/>
    <col min="124" max="124" width="9.7109375" style="10" bestFit="1" customWidth="1"/>
    <col min="125" max="125" width="10.28515625" style="10" bestFit="1" customWidth="1"/>
    <col min="126" max="126" width="23.7109375" style="10" customWidth="1"/>
    <col min="127" max="127" width="3.42578125" style="10" customWidth="1"/>
    <col min="128" max="128" width="24.28515625" style="10" customWidth="1"/>
    <col min="129" max="129" width="19.7109375" style="10" customWidth="1"/>
    <col min="130" max="130" width="20.140625" style="10" customWidth="1"/>
    <col min="131" max="131" width="24.140625" style="10" customWidth="1"/>
    <col min="132" max="132" width="9.140625" style="10"/>
    <col min="133" max="133" width="23" style="10" customWidth="1"/>
    <col min="134" max="134" width="15.85546875" style="10" customWidth="1"/>
    <col min="135" max="135" width="14.5703125" style="10" customWidth="1"/>
    <col min="136" max="136" width="23.7109375" style="10" customWidth="1"/>
    <col min="137" max="137" width="9.140625" style="10"/>
    <col min="138" max="138" width="28.28515625" style="10" customWidth="1"/>
    <col min="139" max="140" width="19.85546875" style="10" customWidth="1"/>
    <col min="141" max="141" width="24.85546875" style="10" customWidth="1"/>
    <col min="142" max="142" width="9.140625" style="10"/>
    <col min="143" max="143" width="23.140625" style="10" customWidth="1"/>
    <col min="144" max="144" width="19.140625" style="10" customWidth="1"/>
    <col min="145" max="145" width="19" style="10" customWidth="1"/>
    <col min="146" max="146" width="24.28515625" style="10" customWidth="1"/>
    <col min="147" max="147" width="4" style="10" customWidth="1"/>
    <col min="148" max="148" width="24" style="10" customWidth="1"/>
    <col min="149" max="150" width="19" style="10" customWidth="1"/>
    <col min="151" max="151" width="25.5703125" style="10" customWidth="1"/>
    <col min="152" max="152" width="9.140625" style="10"/>
    <col min="153" max="153" width="25.28515625" style="10" customWidth="1"/>
    <col min="154" max="154" width="17.42578125" style="10" customWidth="1"/>
    <col min="155" max="155" width="19.140625" style="10" customWidth="1"/>
    <col min="156" max="156" width="22.28515625" style="10" customWidth="1"/>
    <col min="157" max="157" width="9.140625" style="10"/>
    <col min="158" max="158" width="49.28515625" style="10" customWidth="1"/>
    <col min="159" max="159" width="28.42578125" style="10" customWidth="1"/>
    <col min="160" max="160" width="14.85546875" style="10" customWidth="1"/>
    <col min="161" max="161" width="14.140625" style="10" customWidth="1"/>
    <col min="162" max="162" width="21.42578125" style="10" customWidth="1"/>
    <col min="163" max="163" width="9.140625" style="10"/>
    <col min="164" max="164" width="21.5703125" style="10" customWidth="1"/>
    <col min="165" max="165" width="15.140625" style="10" customWidth="1"/>
    <col min="166" max="166" width="13.7109375" style="10" customWidth="1"/>
    <col min="167" max="167" width="23.42578125" style="10" customWidth="1"/>
    <col min="168" max="168" width="9.140625" style="10"/>
    <col min="169" max="169" width="21.5703125" style="10" customWidth="1"/>
    <col min="170" max="170" width="13.28515625" style="10" customWidth="1"/>
    <col min="171" max="171" width="14.7109375" style="10" customWidth="1"/>
    <col min="172" max="172" width="21.42578125" style="10" customWidth="1"/>
    <col min="173" max="16384" width="9.140625" style="10"/>
  </cols>
  <sheetData>
    <row r="1" spans="1:216" ht="20.25">
      <c r="A1" s="22" t="s">
        <v>164</v>
      </c>
      <c r="B1" s="11"/>
      <c r="C1" s="68"/>
      <c r="D1" s="68"/>
      <c r="E1" s="68"/>
      <c r="F1" s="68"/>
      <c r="G1" s="11"/>
      <c r="H1" s="68"/>
      <c r="I1" s="68"/>
      <c r="J1" s="68"/>
      <c r="K1" s="68"/>
      <c r="L1" s="11"/>
      <c r="M1" s="68"/>
      <c r="N1" s="68"/>
      <c r="O1" s="68"/>
      <c r="P1" s="68"/>
      <c r="Q1" s="11"/>
      <c r="R1" s="601"/>
      <c r="S1" s="601"/>
      <c r="T1" s="601"/>
      <c r="U1" s="601"/>
      <c r="W1" s="601"/>
      <c r="X1" s="601"/>
      <c r="Y1" s="601"/>
      <c r="Z1" s="601"/>
      <c r="AB1" s="601"/>
      <c r="AC1" s="601"/>
      <c r="AD1" s="601"/>
      <c r="AE1" s="601"/>
      <c r="AG1" s="601"/>
      <c r="AH1" s="601"/>
      <c r="AI1" s="601"/>
      <c r="AJ1" s="601"/>
      <c r="AL1" s="301"/>
      <c r="AM1" s="301"/>
      <c r="AN1" s="301"/>
      <c r="AO1" s="301"/>
      <c r="AQ1" s="301"/>
      <c r="AR1" s="301"/>
      <c r="AS1" s="301"/>
      <c r="AT1" s="301"/>
      <c r="AU1" s="11"/>
      <c r="AV1" s="68"/>
      <c r="AW1" s="68"/>
      <c r="AX1" s="68"/>
      <c r="AY1" s="68"/>
      <c r="AZ1" s="11"/>
      <c r="BA1" s="68"/>
      <c r="BB1" s="68"/>
      <c r="BC1" s="68"/>
      <c r="BD1" s="68"/>
      <c r="BE1" s="11"/>
      <c r="BF1" s="68"/>
      <c r="BG1" s="68"/>
      <c r="BH1" s="68"/>
      <c r="BI1" s="68"/>
      <c r="BJ1" s="11"/>
      <c r="BK1" s="68"/>
      <c r="BL1" s="68"/>
      <c r="BM1" s="68"/>
      <c r="BN1" s="68"/>
      <c r="BO1" s="68"/>
      <c r="BP1" s="68"/>
      <c r="BQ1" s="68"/>
      <c r="BR1" s="68"/>
      <c r="BS1" s="68"/>
      <c r="BT1" s="11"/>
      <c r="BU1" s="68"/>
      <c r="BV1" s="68"/>
      <c r="BW1" s="68"/>
      <c r="BX1" s="68"/>
      <c r="BY1" s="11"/>
      <c r="BZ1" s="68"/>
      <c r="CA1" s="68"/>
      <c r="CB1" s="68"/>
      <c r="CC1" s="68"/>
      <c r="CD1" s="11"/>
      <c r="CE1" s="68"/>
      <c r="CF1" s="68"/>
      <c r="CG1" s="68"/>
      <c r="CH1" s="68"/>
      <c r="CI1" s="11"/>
      <c r="CJ1" s="68"/>
      <c r="CK1" s="68"/>
      <c r="CL1" s="68"/>
      <c r="CM1" s="68"/>
      <c r="CN1" s="11"/>
      <c r="CO1" s="1"/>
      <c r="CP1" s="1"/>
      <c r="CQ1" s="1"/>
      <c r="CR1" s="1"/>
      <c r="CS1" s="11"/>
      <c r="CT1" s="68"/>
      <c r="CU1" s="68"/>
      <c r="CV1" s="68"/>
      <c r="CW1" s="68"/>
      <c r="CX1" s="11"/>
      <c r="CY1" s="1"/>
      <c r="CZ1" s="1"/>
      <c r="DA1" s="1"/>
      <c r="DB1" s="1"/>
      <c r="DC1" s="11"/>
      <c r="DD1" s="68"/>
      <c r="DE1" s="68"/>
      <c r="DF1" s="68"/>
      <c r="DG1" s="68"/>
      <c r="DH1" s="11"/>
      <c r="DI1" s="1"/>
      <c r="DJ1" s="1"/>
      <c r="DK1" s="1"/>
      <c r="DL1" s="1"/>
      <c r="DM1" s="11"/>
      <c r="DN1" s="1"/>
      <c r="DO1" s="1"/>
      <c r="DP1" s="1"/>
      <c r="DQ1" s="1"/>
      <c r="DR1" s="11"/>
      <c r="DS1" s="1"/>
      <c r="DT1" s="1"/>
      <c r="DU1" s="1"/>
      <c r="DV1" s="1"/>
      <c r="DW1" s="68"/>
      <c r="DX1" s="1"/>
      <c r="DY1" s="1"/>
      <c r="DZ1" s="1"/>
      <c r="EA1" s="1"/>
      <c r="EB1" s="68"/>
      <c r="EC1" s="1"/>
      <c r="ED1" s="1"/>
      <c r="EE1" s="1"/>
      <c r="EF1" s="1"/>
      <c r="EH1" s="1"/>
      <c r="EI1" s="1"/>
      <c r="EJ1" s="1"/>
      <c r="EK1" s="1"/>
      <c r="EM1" s="1"/>
      <c r="EN1" s="1"/>
      <c r="EO1" s="1"/>
      <c r="EP1" s="1"/>
      <c r="EQ1" s="11"/>
      <c r="ER1" s="1"/>
      <c r="ES1" s="1"/>
      <c r="ET1" s="1"/>
      <c r="EU1" s="1"/>
      <c r="EV1" s="11"/>
      <c r="EW1" s="1"/>
      <c r="EX1" s="1"/>
      <c r="EY1" s="1"/>
      <c r="EZ1" s="1"/>
      <c r="FA1" s="11"/>
      <c r="FB1" s="1" t="s">
        <v>164</v>
      </c>
      <c r="FC1" s="6"/>
      <c r="FD1" s="6"/>
      <c r="FE1" s="6"/>
      <c r="FF1" s="6"/>
      <c r="FG1" s="11"/>
      <c r="FH1" s="6"/>
      <c r="FI1" s="6"/>
      <c r="FJ1" s="6"/>
      <c r="FK1" s="6"/>
      <c r="FL1" s="11"/>
      <c r="FM1" s="6"/>
      <c r="FN1" s="6"/>
      <c r="FO1" s="6"/>
      <c r="FP1" s="6"/>
    </row>
    <row r="2" spans="1:216" ht="51">
      <c r="A2" s="69" t="s">
        <v>477</v>
      </c>
      <c r="B2" s="11"/>
      <c r="C2" s="70" t="s">
        <v>992</v>
      </c>
      <c r="D2" s="70" t="s">
        <v>993</v>
      </c>
      <c r="E2" s="70" t="s">
        <v>994</v>
      </c>
      <c r="F2" s="70" t="s">
        <v>987</v>
      </c>
      <c r="G2" s="11"/>
      <c r="H2" s="70" t="s">
        <v>988</v>
      </c>
      <c r="I2" s="70" t="s">
        <v>989</v>
      </c>
      <c r="J2" s="70" t="s">
        <v>990</v>
      </c>
      <c r="K2" s="70" t="s">
        <v>987</v>
      </c>
      <c r="L2" s="11"/>
      <c r="M2" s="70" t="s">
        <v>962</v>
      </c>
      <c r="N2" s="70" t="s">
        <v>963</v>
      </c>
      <c r="O2" s="70" t="s">
        <v>964</v>
      </c>
      <c r="P2" s="70" t="s">
        <v>965</v>
      </c>
      <c r="Q2" s="11"/>
      <c r="R2" s="603" t="s">
        <v>930</v>
      </c>
      <c r="S2" s="603" t="s">
        <v>931</v>
      </c>
      <c r="T2" s="603" t="s">
        <v>932</v>
      </c>
      <c r="U2" s="603" t="s">
        <v>933</v>
      </c>
      <c r="W2" s="603" t="s">
        <v>936</v>
      </c>
      <c r="X2" s="603" t="s">
        <v>937</v>
      </c>
      <c r="Y2" s="603" t="s">
        <v>938</v>
      </c>
      <c r="Z2" s="603" t="s">
        <v>898</v>
      </c>
      <c r="AB2" s="603" t="s">
        <v>895</v>
      </c>
      <c r="AC2" s="603" t="s">
        <v>896</v>
      </c>
      <c r="AD2" s="603" t="s">
        <v>897</v>
      </c>
      <c r="AE2" s="603" t="s">
        <v>898</v>
      </c>
      <c r="AG2" s="603" t="s">
        <v>899</v>
      </c>
      <c r="AH2" s="603" t="s">
        <v>900</v>
      </c>
      <c r="AI2" s="603" t="s">
        <v>901</v>
      </c>
      <c r="AJ2" s="603" t="s">
        <v>898</v>
      </c>
      <c r="AL2" s="326" t="s">
        <v>882</v>
      </c>
      <c r="AM2" s="326" t="s">
        <v>883</v>
      </c>
      <c r="AN2" s="326" t="s">
        <v>884</v>
      </c>
      <c r="AO2" s="326" t="s">
        <v>850</v>
      </c>
      <c r="AQ2" s="326" t="s">
        <v>847</v>
      </c>
      <c r="AR2" s="326" t="s">
        <v>848</v>
      </c>
      <c r="AS2" s="326" t="s">
        <v>849</v>
      </c>
      <c r="AT2" s="326" t="s">
        <v>850</v>
      </c>
      <c r="AU2" s="11"/>
      <c r="AV2" s="326" t="s">
        <v>198</v>
      </c>
      <c r="AW2" s="326" t="s">
        <v>199</v>
      </c>
      <c r="AX2" s="326" t="s">
        <v>201</v>
      </c>
      <c r="AY2" s="326" t="s">
        <v>203</v>
      </c>
      <c r="AZ2" s="11"/>
      <c r="BA2" s="326" t="s">
        <v>290</v>
      </c>
      <c r="BB2" s="326" t="s">
        <v>212</v>
      </c>
      <c r="BC2" s="326" t="s">
        <v>213</v>
      </c>
      <c r="BD2" s="326" t="s">
        <v>217</v>
      </c>
      <c r="BE2" s="11"/>
      <c r="BF2" s="326" t="s">
        <v>205</v>
      </c>
      <c r="BG2" s="326" t="s">
        <v>206</v>
      </c>
      <c r="BH2" s="326" t="s">
        <v>208</v>
      </c>
      <c r="BI2" s="326" t="s">
        <v>210</v>
      </c>
      <c r="BJ2" s="306"/>
      <c r="BK2" s="326" t="s">
        <v>468</v>
      </c>
      <c r="BL2" s="326" t="s">
        <v>471</v>
      </c>
      <c r="BM2" s="326" t="s">
        <v>472</v>
      </c>
      <c r="BN2" s="326" t="s">
        <v>223</v>
      </c>
      <c r="BO2" s="326"/>
      <c r="BP2" s="326" t="s">
        <v>218</v>
      </c>
      <c r="BQ2" s="326" t="s">
        <v>219</v>
      </c>
      <c r="BR2" s="326" t="s">
        <v>221</v>
      </c>
      <c r="BS2" s="326" t="s">
        <v>223</v>
      </c>
      <c r="BT2" s="306"/>
      <c r="BU2" s="326" t="s">
        <v>233</v>
      </c>
      <c r="BV2" s="326" t="s">
        <v>235</v>
      </c>
      <c r="BW2" s="326" t="s">
        <v>237</v>
      </c>
      <c r="BX2" s="326" t="s">
        <v>231</v>
      </c>
      <c r="BY2" s="306"/>
      <c r="BZ2" s="326" t="s">
        <v>225</v>
      </c>
      <c r="CA2" s="326" t="s">
        <v>227</v>
      </c>
      <c r="CB2" s="326" t="s">
        <v>229</v>
      </c>
      <c r="CC2" s="326" t="s">
        <v>231</v>
      </c>
      <c r="CD2" s="306"/>
      <c r="CE2" s="326" t="s">
        <v>239</v>
      </c>
      <c r="CF2" s="326" t="s">
        <v>241</v>
      </c>
      <c r="CG2" s="326" t="s">
        <v>202</v>
      </c>
      <c r="CH2" s="326" t="s">
        <v>204</v>
      </c>
      <c r="CI2" s="306"/>
      <c r="CJ2" s="326" t="s">
        <v>244</v>
      </c>
      <c r="CK2" s="326" t="s">
        <v>214</v>
      </c>
      <c r="CL2" s="326" t="s">
        <v>215</v>
      </c>
      <c r="CM2" s="326" t="s">
        <v>232</v>
      </c>
      <c r="CN2" s="306"/>
      <c r="CO2" s="326" t="s">
        <v>881</v>
      </c>
      <c r="CP2" s="326" t="s">
        <v>437</v>
      </c>
      <c r="CQ2" s="326" t="s">
        <v>880</v>
      </c>
      <c r="CR2" s="326" t="s">
        <v>232</v>
      </c>
      <c r="CS2" s="306"/>
      <c r="CT2" s="326" t="s">
        <v>438</v>
      </c>
      <c r="CU2" s="326" t="s">
        <v>439</v>
      </c>
      <c r="CV2" s="326" t="s">
        <v>440</v>
      </c>
      <c r="CW2" s="326" t="s">
        <v>224</v>
      </c>
      <c r="CX2" s="306"/>
      <c r="CY2" s="326" t="s">
        <v>444</v>
      </c>
      <c r="CZ2" s="326" t="s">
        <v>445</v>
      </c>
      <c r="DA2" s="326" t="s">
        <v>879</v>
      </c>
      <c r="DB2" s="326" t="s">
        <v>224</v>
      </c>
      <c r="DC2" s="306"/>
      <c r="DD2" s="326" t="s">
        <v>449</v>
      </c>
      <c r="DE2" s="326" t="s">
        <v>878</v>
      </c>
      <c r="DF2" s="326" t="s">
        <v>877</v>
      </c>
      <c r="DG2" s="326" t="s">
        <v>250</v>
      </c>
      <c r="DH2" s="306"/>
      <c r="DI2" s="326" t="s">
        <v>226</v>
      </c>
      <c r="DJ2" s="326" t="s">
        <v>450</v>
      </c>
      <c r="DK2" s="326" t="s">
        <v>876</v>
      </c>
      <c r="DL2" s="326" t="s">
        <v>250</v>
      </c>
      <c r="DM2" s="306"/>
      <c r="DN2" s="326" t="s">
        <v>240</v>
      </c>
      <c r="DO2" s="326" t="s">
        <v>453</v>
      </c>
      <c r="DP2" s="326" t="s">
        <v>875</v>
      </c>
      <c r="DQ2" s="326" t="s">
        <v>253</v>
      </c>
      <c r="DR2" s="306"/>
      <c r="DS2" s="326" t="s">
        <v>254</v>
      </c>
      <c r="DT2" s="326" t="s">
        <v>255</v>
      </c>
      <c r="DU2" s="326" t="s">
        <v>256</v>
      </c>
      <c r="DV2" s="326" t="s">
        <v>257</v>
      </c>
      <c r="DW2" s="327"/>
      <c r="DX2" s="326" t="s">
        <v>873</v>
      </c>
      <c r="DY2" s="326" t="s">
        <v>871</v>
      </c>
      <c r="DZ2" s="326" t="s">
        <v>869</v>
      </c>
      <c r="EA2" s="326" t="s">
        <v>257</v>
      </c>
      <c r="EB2" s="328"/>
      <c r="EC2" s="326" t="s">
        <v>456</v>
      </c>
      <c r="ED2" s="326" t="s">
        <v>460</v>
      </c>
      <c r="EE2" s="326" t="s">
        <v>474</v>
      </c>
      <c r="EF2" s="326" t="s">
        <v>249</v>
      </c>
      <c r="EG2" s="306"/>
      <c r="EH2" s="326" t="s">
        <v>867</v>
      </c>
      <c r="EI2" s="326" t="s">
        <v>865</v>
      </c>
      <c r="EJ2" s="326" t="s">
        <v>863</v>
      </c>
      <c r="EK2" s="326" t="s">
        <v>249</v>
      </c>
      <c r="EL2" s="306"/>
      <c r="EM2" s="326" t="s">
        <v>448</v>
      </c>
      <c r="EN2" s="326" t="s">
        <v>861</v>
      </c>
      <c r="EO2" s="326" t="s">
        <v>859</v>
      </c>
      <c r="EP2" s="326" t="s">
        <v>263</v>
      </c>
      <c r="EQ2" s="306"/>
      <c r="ER2" s="326" t="s">
        <v>857</v>
      </c>
      <c r="ES2" s="326" t="s">
        <v>853</v>
      </c>
      <c r="ET2" s="326" t="s">
        <v>854</v>
      </c>
      <c r="EU2" s="326" t="s">
        <v>263</v>
      </c>
      <c r="EV2" s="306"/>
      <c r="EW2" s="326" t="s">
        <v>851</v>
      </c>
      <c r="EX2" s="326" t="s">
        <v>462</v>
      </c>
      <c r="EY2" s="326" t="s">
        <v>852</v>
      </c>
      <c r="EZ2" s="326" t="s">
        <v>265</v>
      </c>
      <c r="FA2" s="306"/>
      <c r="FB2" s="329" t="s">
        <v>477</v>
      </c>
      <c r="FC2" s="330" t="s">
        <v>267</v>
      </c>
      <c r="FD2" s="330" t="s">
        <v>178</v>
      </c>
      <c r="FE2" s="330" t="s">
        <v>179</v>
      </c>
      <c r="FF2" s="330" t="s">
        <v>268</v>
      </c>
      <c r="FG2" s="306"/>
      <c r="FH2" s="330" t="s">
        <v>457</v>
      </c>
      <c r="FI2" s="330" t="s">
        <v>185</v>
      </c>
      <c r="FJ2" s="330" t="s">
        <v>186</v>
      </c>
      <c r="FK2" s="330" t="s">
        <v>280</v>
      </c>
      <c r="FL2" s="306"/>
      <c r="FM2" s="330" t="s">
        <v>284</v>
      </c>
      <c r="FN2" s="330" t="s">
        <v>193</v>
      </c>
      <c r="FO2" s="330" t="s">
        <v>194</v>
      </c>
      <c r="FP2" s="330" t="s">
        <v>285</v>
      </c>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row>
    <row r="3" spans="1:216">
      <c r="A3" s="534" t="s">
        <v>165</v>
      </c>
      <c r="B3" s="11"/>
      <c r="C3" s="597">
        <v>531690</v>
      </c>
      <c r="D3" s="598">
        <v>-142937</v>
      </c>
      <c r="E3" s="597">
        <v>-511337</v>
      </c>
      <c r="F3" s="597">
        <v>1544654</v>
      </c>
      <c r="G3" s="11"/>
      <c r="H3" s="597">
        <v>239824</v>
      </c>
      <c r="I3" s="598">
        <v>-98651</v>
      </c>
      <c r="J3" s="597">
        <v>-415418</v>
      </c>
      <c r="K3" s="597">
        <v>1544654</v>
      </c>
      <c r="L3" s="11"/>
      <c r="M3" s="604">
        <v>291866</v>
      </c>
      <c r="N3" s="605">
        <v>-44286</v>
      </c>
      <c r="O3" s="604">
        <v>-95919</v>
      </c>
      <c r="P3" s="604">
        <v>1743682</v>
      </c>
      <c r="Q3" s="11"/>
      <c r="R3" s="604">
        <v>1266024</v>
      </c>
      <c r="S3" s="604">
        <v>-207181</v>
      </c>
      <c r="T3" s="604">
        <v>-1053469</v>
      </c>
      <c r="U3" s="604">
        <v>1589823</v>
      </c>
      <c r="W3" s="604">
        <v>314649</v>
      </c>
      <c r="X3" s="605">
        <v>-112725</v>
      </c>
      <c r="Y3" s="604">
        <v>-136788</v>
      </c>
      <c r="Z3" s="604">
        <v>1589823</v>
      </c>
      <c r="AB3" s="604">
        <v>951375</v>
      </c>
      <c r="AC3" s="605">
        <v>-94456</v>
      </c>
      <c r="AD3" s="604">
        <v>-916681</v>
      </c>
      <c r="AE3" s="604">
        <v>1487764</v>
      </c>
      <c r="AG3" s="604">
        <v>272589</v>
      </c>
      <c r="AH3" s="605">
        <v>-28789</v>
      </c>
      <c r="AI3" s="604">
        <v>-50515</v>
      </c>
      <c r="AJ3" s="604">
        <v>1487764</v>
      </c>
      <c r="AL3" s="315">
        <v>678786</v>
      </c>
      <c r="AM3" s="550">
        <v>-65667</v>
      </c>
      <c r="AN3" s="315">
        <v>-866166</v>
      </c>
      <c r="AO3" s="315">
        <v>1397631</v>
      </c>
      <c r="AQ3" s="315">
        <v>293543</v>
      </c>
      <c r="AR3" s="550">
        <v>-76005</v>
      </c>
      <c r="AS3" s="315">
        <v>-842790</v>
      </c>
      <c r="AT3" s="315">
        <v>1397631</v>
      </c>
      <c r="AU3" s="11"/>
      <c r="AV3" s="305">
        <v>385243</v>
      </c>
      <c r="AW3" s="334">
        <v>10338</v>
      </c>
      <c r="AX3" s="305">
        <v>-23376</v>
      </c>
      <c r="AY3" s="305">
        <v>2126068</v>
      </c>
      <c r="AZ3" s="11"/>
      <c r="BA3" s="305">
        <v>1541425</v>
      </c>
      <c r="BB3" s="305">
        <v>-83036</v>
      </c>
      <c r="BC3" s="305">
        <v>-211070</v>
      </c>
      <c r="BD3" s="305">
        <v>2085538</v>
      </c>
      <c r="BE3" s="11"/>
      <c r="BF3" s="305">
        <v>422958</v>
      </c>
      <c r="BG3" s="334">
        <v>-41352</v>
      </c>
      <c r="BH3" s="305">
        <v>-75834</v>
      </c>
      <c r="BI3" s="305">
        <v>2085538</v>
      </c>
      <c r="BJ3" s="306"/>
      <c r="BK3" s="305">
        <v>1118467</v>
      </c>
      <c r="BL3" s="305">
        <v>-41684</v>
      </c>
      <c r="BM3" s="305">
        <v>-135236</v>
      </c>
      <c r="BN3" s="305">
        <v>2009687</v>
      </c>
      <c r="BO3" s="305"/>
      <c r="BP3" s="305">
        <v>336783</v>
      </c>
      <c r="BQ3" s="305">
        <v>-36968</v>
      </c>
      <c r="BR3" s="305">
        <v>-69420</v>
      </c>
      <c r="BS3" s="305">
        <v>2009687</v>
      </c>
      <c r="BT3" s="306"/>
      <c r="BU3" s="305">
        <v>781684</v>
      </c>
      <c r="BV3" s="305">
        <v>-4716</v>
      </c>
      <c r="BW3" s="305">
        <v>-65816</v>
      </c>
      <c r="BX3" s="305">
        <v>2020059</v>
      </c>
      <c r="BY3" s="306"/>
      <c r="BZ3" s="305">
        <f t="shared" ref="BZ3:CB7" si="0">BU3-CE3</f>
        <v>397591</v>
      </c>
      <c r="CA3" s="305">
        <f t="shared" si="0"/>
        <v>24737</v>
      </c>
      <c r="CB3" s="305">
        <f t="shared" si="0"/>
        <v>-6171</v>
      </c>
      <c r="CC3" s="305">
        <f>CH3</f>
        <v>2011921</v>
      </c>
      <c r="CD3" s="306"/>
      <c r="CE3" s="305">
        <v>384093</v>
      </c>
      <c r="CF3" s="305">
        <v>-29453</v>
      </c>
      <c r="CG3" s="305">
        <v>-59645</v>
      </c>
      <c r="CH3" s="305">
        <v>2011921</v>
      </c>
      <c r="CI3" s="306"/>
      <c r="CJ3" s="305">
        <v>1311143</v>
      </c>
      <c r="CK3" s="305">
        <v>-82130</v>
      </c>
      <c r="CL3" s="305">
        <v>-205163</v>
      </c>
      <c r="CM3" s="305">
        <v>2069263</v>
      </c>
      <c r="CN3" s="306"/>
      <c r="CO3" s="305">
        <v>423619</v>
      </c>
      <c r="CP3" s="305">
        <v>54528</v>
      </c>
      <c r="CQ3" s="305">
        <v>23540</v>
      </c>
      <c r="CR3" s="305">
        <v>2069263</v>
      </c>
      <c r="CS3" s="306"/>
      <c r="CT3" s="305">
        <v>887524</v>
      </c>
      <c r="CU3" s="305">
        <v>-136658</v>
      </c>
      <c r="CV3" s="305">
        <v>-228703</v>
      </c>
      <c r="CW3" s="305">
        <v>1949034</v>
      </c>
      <c r="CX3" s="306"/>
      <c r="CY3" s="305">
        <v>375392</v>
      </c>
      <c r="CZ3" s="305">
        <v>32590</v>
      </c>
      <c r="DA3" s="305">
        <v>1833</v>
      </c>
      <c r="DB3" s="305">
        <v>1949034</v>
      </c>
      <c r="DC3" s="306"/>
      <c r="DD3" s="305">
        <v>512132</v>
      </c>
      <c r="DE3" s="305">
        <v>-169248</v>
      </c>
      <c r="DF3" s="305">
        <v>-230536</v>
      </c>
      <c r="DG3" s="305">
        <v>1954277</v>
      </c>
      <c r="DH3" s="306"/>
      <c r="DI3" s="305">
        <v>257978</v>
      </c>
      <c r="DJ3" s="305">
        <v>-104490</v>
      </c>
      <c r="DK3" s="305">
        <v>-127029</v>
      </c>
      <c r="DL3" s="305">
        <v>1954277</v>
      </c>
      <c r="DM3" s="306"/>
      <c r="DN3" s="305">
        <v>254154</v>
      </c>
      <c r="DO3" s="305">
        <v>-64758</v>
      </c>
      <c r="DP3" s="305">
        <v>-103507</v>
      </c>
      <c r="DQ3" s="305">
        <v>1952787</v>
      </c>
      <c r="DR3" s="306"/>
      <c r="DS3" s="305">
        <v>1205944</v>
      </c>
      <c r="DT3" s="305">
        <v>9137</v>
      </c>
      <c r="DU3" s="305">
        <v>-104328</v>
      </c>
      <c r="DV3" s="305">
        <v>1657407</v>
      </c>
      <c r="DW3" s="312"/>
      <c r="DX3" s="305">
        <v>331130</v>
      </c>
      <c r="DY3" s="305">
        <v>32369</v>
      </c>
      <c r="DZ3" s="305">
        <v>3251</v>
      </c>
      <c r="EA3" s="305">
        <v>1657407</v>
      </c>
      <c r="EB3" s="312"/>
      <c r="EC3" s="305">
        <v>874814</v>
      </c>
      <c r="ED3" s="305">
        <v>-23232</v>
      </c>
      <c r="EE3" s="305">
        <v>-107579</v>
      </c>
      <c r="EF3" s="305">
        <v>1691191</v>
      </c>
      <c r="EG3" s="306"/>
      <c r="EH3" s="305">
        <v>332863</v>
      </c>
      <c r="EI3" s="305">
        <v>134670</v>
      </c>
      <c r="EJ3" s="305">
        <v>106686</v>
      </c>
      <c r="EK3" s="305">
        <v>1691191</v>
      </c>
      <c r="EL3" s="306"/>
      <c r="EM3" s="305">
        <v>541951</v>
      </c>
      <c r="EN3" s="305">
        <v>-157903</v>
      </c>
      <c r="EO3" s="305">
        <v>-214265</v>
      </c>
      <c r="EP3" s="305">
        <v>1728184</v>
      </c>
      <c r="EQ3" s="306"/>
      <c r="ER3" s="305">
        <v>273192</v>
      </c>
      <c r="ES3" s="305">
        <v>-113717</v>
      </c>
      <c r="ET3" s="305">
        <v>-142220</v>
      </c>
      <c r="EU3" s="305">
        <v>1728184</v>
      </c>
      <c r="EV3" s="306"/>
      <c r="EW3" s="305">
        <v>268759</v>
      </c>
      <c r="EX3" s="305">
        <v>-44186</v>
      </c>
      <c r="EY3" s="305">
        <v>-72045</v>
      </c>
      <c r="EZ3" s="305">
        <v>1773973</v>
      </c>
      <c r="FA3" s="306"/>
      <c r="FB3" s="313" t="s">
        <v>170</v>
      </c>
      <c r="FC3" s="311">
        <v>1194024</v>
      </c>
      <c r="FD3" s="311">
        <v>98412</v>
      </c>
      <c r="FE3" s="311">
        <v>-6829</v>
      </c>
      <c r="FF3" s="311">
        <v>1742510</v>
      </c>
      <c r="FG3" s="306"/>
      <c r="FH3" s="311">
        <v>870843</v>
      </c>
      <c r="FI3" s="311">
        <v>83480</v>
      </c>
      <c r="FJ3" s="311">
        <v>5347</v>
      </c>
      <c r="FK3" s="311">
        <v>1666780</v>
      </c>
      <c r="FL3" s="306"/>
      <c r="FM3" s="311">
        <v>529412</v>
      </c>
      <c r="FN3" s="311">
        <v>28174</v>
      </c>
      <c r="FO3" s="311">
        <v>-23785</v>
      </c>
      <c r="FP3" s="311">
        <v>1640587</v>
      </c>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row>
    <row r="4" spans="1:216">
      <c r="A4" s="533" t="s">
        <v>166</v>
      </c>
      <c r="B4" s="11"/>
      <c r="C4" s="597">
        <v>2546274</v>
      </c>
      <c r="D4" s="598">
        <v>539032</v>
      </c>
      <c r="E4" s="597">
        <v>324990</v>
      </c>
      <c r="F4" s="597">
        <v>13002265</v>
      </c>
      <c r="G4" s="11"/>
      <c r="H4" s="597">
        <v>1157326</v>
      </c>
      <c r="I4" s="598">
        <v>152365</v>
      </c>
      <c r="J4" s="597">
        <v>44662</v>
      </c>
      <c r="K4" s="597">
        <v>13002265</v>
      </c>
      <c r="L4" s="11"/>
      <c r="M4" s="604">
        <v>1388948</v>
      </c>
      <c r="N4" s="605">
        <v>386667</v>
      </c>
      <c r="O4" s="604">
        <v>280328</v>
      </c>
      <c r="P4" s="604">
        <v>13012934</v>
      </c>
      <c r="Q4" s="11"/>
      <c r="R4" s="604">
        <v>4638494</v>
      </c>
      <c r="S4" s="604">
        <v>731372</v>
      </c>
      <c r="T4" s="604">
        <v>196658</v>
      </c>
      <c r="U4" s="604">
        <v>12712861</v>
      </c>
      <c r="W4" s="604">
        <v>1369745</v>
      </c>
      <c r="X4" s="605">
        <v>82432</v>
      </c>
      <c r="Y4" s="604">
        <v>-494471</v>
      </c>
      <c r="Z4" s="604">
        <v>12712861</v>
      </c>
      <c r="AB4" s="604">
        <v>3268749</v>
      </c>
      <c r="AC4" s="605">
        <v>648940</v>
      </c>
      <c r="AD4" s="604">
        <v>691129</v>
      </c>
      <c r="AE4" s="604">
        <v>12406932</v>
      </c>
      <c r="AG4" s="604">
        <v>1149397</v>
      </c>
      <c r="AH4" s="605">
        <v>57190</v>
      </c>
      <c r="AI4" s="604">
        <v>-49720</v>
      </c>
      <c r="AJ4" s="604">
        <v>12406932</v>
      </c>
      <c r="AL4" s="315">
        <v>2119352</v>
      </c>
      <c r="AM4" s="550">
        <v>591750</v>
      </c>
      <c r="AN4" s="315">
        <v>740849</v>
      </c>
      <c r="AO4" s="315">
        <v>12218655</v>
      </c>
      <c r="AQ4" s="315">
        <v>947169</v>
      </c>
      <c r="AR4" s="550">
        <v>126438</v>
      </c>
      <c r="AS4" s="315">
        <v>369183</v>
      </c>
      <c r="AT4" s="315">
        <v>12218655</v>
      </c>
      <c r="AU4" s="11"/>
      <c r="AV4" s="305">
        <v>1172183</v>
      </c>
      <c r="AW4" s="334">
        <v>465312</v>
      </c>
      <c r="AX4" s="305">
        <v>371666</v>
      </c>
      <c r="AY4" s="305">
        <v>11762964</v>
      </c>
      <c r="AZ4" s="11"/>
      <c r="BA4" s="305">
        <v>4528480</v>
      </c>
      <c r="BB4" s="305">
        <v>463974</v>
      </c>
      <c r="BC4" s="305">
        <v>16595</v>
      </c>
      <c r="BD4" s="305">
        <v>11802461</v>
      </c>
      <c r="BE4" s="11"/>
      <c r="BF4" s="305">
        <v>1203648</v>
      </c>
      <c r="BG4" s="334">
        <v>77580</v>
      </c>
      <c r="BH4" s="305">
        <v>-27589</v>
      </c>
      <c r="BI4" s="305">
        <v>11802461</v>
      </c>
      <c r="BJ4" s="306"/>
      <c r="BK4" s="305">
        <v>3324832</v>
      </c>
      <c r="BL4" s="305">
        <v>386394</v>
      </c>
      <c r="BM4" s="305">
        <v>44184</v>
      </c>
      <c r="BN4" s="305">
        <v>10725845</v>
      </c>
      <c r="BO4" s="305"/>
      <c r="BP4" s="305">
        <v>1042661</v>
      </c>
      <c r="BQ4" s="305">
        <v>79923</v>
      </c>
      <c r="BR4" s="305">
        <v>-36258</v>
      </c>
      <c r="BS4" s="305">
        <v>10725845</v>
      </c>
      <c r="BT4" s="306"/>
      <c r="BU4" s="305">
        <v>2282171</v>
      </c>
      <c r="BV4" s="305">
        <v>306471</v>
      </c>
      <c r="BW4" s="305">
        <v>80442</v>
      </c>
      <c r="BX4" s="305">
        <v>10994483</v>
      </c>
      <c r="BY4" s="306"/>
      <c r="BZ4" s="305">
        <f t="shared" si="0"/>
        <v>1063014</v>
      </c>
      <c r="CA4" s="305">
        <f t="shared" si="0"/>
        <v>115805</v>
      </c>
      <c r="CB4" s="305">
        <f t="shared" si="0"/>
        <v>-11816</v>
      </c>
      <c r="CC4" s="305">
        <f>CH4</f>
        <v>10794713</v>
      </c>
      <c r="CD4" s="306"/>
      <c r="CE4" s="305">
        <v>1219157</v>
      </c>
      <c r="CF4" s="305">
        <v>190666</v>
      </c>
      <c r="CG4" s="305">
        <v>92258</v>
      </c>
      <c r="CH4" s="305">
        <v>10794713</v>
      </c>
      <c r="CI4" s="306"/>
      <c r="CJ4" s="305">
        <v>4356101</v>
      </c>
      <c r="CK4" s="305">
        <v>545311</v>
      </c>
      <c r="CL4" s="305">
        <v>-752813</v>
      </c>
      <c r="CM4" s="305">
        <v>10874288</v>
      </c>
      <c r="CN4" s="306"/>
      <c r="CO4" s="305">
        <v>1112410</v>
      </c>
      <c r="CP4" s="305">
        <v>98202</v>
      </c>
      <c r="CQ4" s="305">
        <v>-182972</v>
      </c>
      <c r="CR4" s="305">
        <v>10874288</v>
      </c>
      <c r="CS4" s="306"/>
      <c r="CT4" s="305">
        <v>3243691</v>
      </c>
      <c r="CU4" s="305">
        <v>447109</v>
      </c>
      <c r="CV4" s="305">
        <v>-569841</v>
      </c>
      <c r="CW4" s="305">
        <v>10429522</v>
      </c>
      <c r="CX4" s="306"/>
      <c r="CY4" s="305">
        <v>901057</v>
      </c>
      <c r="CZ4" s="305">
        <v>93148</v>
      </c>
      <c r="DA4" s="305">
        <v>-11530</v>
      </c>
      <c r="DB4" s="305">
        <v>10429522</v>
      </c>
      <c r="DC4" s="306"/>
      <c r="DD4" s="305">
        <v>2342634</v>
      </c>
      <c r="DE4" s="305">
        <v>353961</v>
      </c>
      <c r="DF4" s="305">
        <v>-558311</v>
      </c>
      <c r="DG4" s="305">
        <v>10151833</v>
      </c>
      <c r="DH4" s="306"/>
      <c r="DI4" s="305">
        <v>1070810</v>
      </c>
      <c r="DJ4" s="305">
        <v>162812</v>
      </c>
      <c r="DK4" s="305">
        <v>-647533</v>
      </c>
      <c r="DL4" s="305">
        <v>10151833</v>
      </c>
      <c r="DM4" s="306"/>
      <c r="DN4" s="305">
        <v>1271824</v>
      </c>
      <c r="DO4" s="305">
        <v>191149</v>
      </c>
      <c r="DP4" s="305">
        <v>89222</v>
      </c>
      <c r="DQ4" s="305">
        <v>10775702</v>
      </c>
      <c r="DR4" s="306"/>
      <c r="DS4" s="305">
        <v>5376280</v>
      </c>
      <c r="DT4" s="305">
        <v>754751</v>
      </c>
      <c r="DU4" s="305">
        <v>-3477076</v>
      </c>
      <c r="DV4" s="305">
        <v>10788413</v>
      </c>
      <c r="DW4" s="312"/>
      <c r="DX4" s="305">
        <v>1464821</v>
      </c>
      <c r="DY4" s="305">
        <v>190712</v>
      </c>
      <c r="DZ4" s="305">
        <v>-3607565</v>
      </c>
      <c r="EA4" s="305">
        <v>10788413</v>
      </c>
      <c r="EB4" s="312"/>
      <c r="EC4" s="305">
        <v>3911459</v>
      </c>
      <c r="ED4" s="305">
        <v>564039</v>
      </c>
      <c r="EE4" s="305">
        <v>130489</v>
      </c>
      <c r="EF4" s="305">
        <v>13965188</v>
      </c>
      <c r="EG4" s="306"/>
      <c r="EH4" s="305">
        <v>1164371</v>
      </c>
      <c r="EI4" s="305">
        <v>97637</v>
      </c>
      <c r="EJ4" s="305">
        <v>-51447</v>
      </c>
      <c r="EK4" s="305">
        <v>13965188</v>
      </c>
      <c r="EL4" s="306"/>
      <c r="EM4" s="305">
        <v>2674765</v>
      </c>
      <c r="EN4" s="305">
        <v>472911</v>
      </c>
      <c r="EO4" s="305">
        <v>181936</v>
      </c>
      <c r="EP4" s="305">
        <v>13605284</v>
      </c>
      <c r="EQ4" s="306"/>
      <c r="ER4" s="305">
        <v>1147664</v>
      </c>
      <c r="ES4" s="305">
        <v>188570</v>
      </c>
      <c r="ET4" s="305">
        <v>44376</v>
      </c>
      <c r="EU4" s="305">
        <v>13605284</v>
      </c>
      <c r="EV4" s="306"/>
      <c r="EW4" s="305">
        <v>1527101</v>
      </c>
      <c r="EX4" s="305">
        <v>284341</v>
      </c>
      <c r="EY4" s="305">
        <v>137560</v>
      </c>
      <c r="EZ4" s="305">
        <v>13386310</v>
      </c>
      <c r="FA4" s="306"/>
      <c r="FB4" s="312" t="s">
        <v>171</v>
      </c>
      <c r="FC4" s="305">
        <v>3218162</v>
      </c>
      <c r="FD4" s="305">
        <v>251838</v>
      </c>
      <c r="FE4" s="305">
        <v>-189247</v>
      </c>
      <c r="FF4" s="331">
        <v>8393127</v>
      </c>
      <c r="FG4" s="306"/>
      <c r="FH4" s="305">
        <v>2304778</v>
      </c>
      <c r="FI4" s="305">
        <v>200144</v>
      </c>
      <c r="FJ4" s="305">
        <v>-154254</v>
      </c>
      <c r="FK4" s="331">
        <v>7636136</v>
      </c>
      <c r="FL4" s="306"/>
      <c r="FM4" s="305">
        <v>1472664</v>
      </c>
      <c r="FN4" s="305">
        <v>126991</v>
      </c>
      <c r="FO4" s="305">
        <v>-110708</v>
      </c>
      <c r="FP4" s="331">
        <v>7741435</v>
      </c>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row>
    <row r="5" spans="1:216">
      <c r="A5" s="533" t="s">
        <v>167</v>
      </c>
      <c r="B5" s="11"/>
      <c r="C5" s="597">
        <v>3275342</v>
      </c>
      <c r="D5" s="598">
        <v>1337319</v>
      </c>
      <c r="E5" s="597">
        <v>764728</v>
      </c>
      <c r="F5" s="597">
        <v>18478310</v>
      </c>
      <c r="G5" s="11"/>
      <c r="H5" s="597">
        <v>1594121</v>
      </c>
      <c r="I5" s="598">
        <v>656124</v>
      </c>
      <c r="J5" s="597">
        <v>377666</v>
      </c>
      <c r="K5" s="597">
        <v>18478310</v>
      </c>
      <c r="L5" s="11"/>
      <c r="M5" s="604">
        <v>1681221</v>
      </c>
      <c r="N5" s="605">
        <v>681195</v>
      </c>
      <c r="O5" s="604">
        <v>387062</v>
      </c>
      <c r="P5" s="604">
        <v>18267535</v>
      </c>
      <c r="Q5" s="11"/>
      <c r="R5" s="604">
        <v>6158215</v>
      </c>
      <c r="S5" s="604">
        <v>2517465</v>
      </c>
      <c r="T5" s="604">
        <v>1417102</v>
      </c>
      <c r="U5" s="604">
        <v>18345603</v>
      </c>
      <c r="W5" s="604">
        <v>1589634</v>
      </c>
      <c r="X5" s="605">
        <v>560921</v>
      </c>
      <c r="Y5" s="604">
        <v>273743</v>
      </c>
      <c r="Z5" s="604">
        <v>18345603</v>
      </c>
      <c r="AB5" s="604">
        <v>4568581</v>
      </c>
      <c r="AC5" s="605">
        <v>1956544</v>
      </c>
      <c r="AD5" s="604">
        <v>1143359</v>
      </c>
      <c r="AE5" s="604">
        <v>17840427</v>
      </c>
      <c r="AG5" s="604">
        <v>1481610</v>
      </c>
      <c r="AH5" s="605">
        <v>620731</v>
      </c>
      <c r="AI5" s="604">
        <v>346908</v>
      </c>
      <c r="AJ5" s="604">
        <v>17840427</v>
      </c>
      <c r="AL5" s="315">
        <v>3463808</v>
      </c>
      <c r="AM5" s="550">
        <v>1335813</v>
      </c>
      <c r="AN5" s="315">
        <v>796451</v>
      </c>
      <c r="AO5" s="315">
        <v>17611246</v>
      </c>
      <c r="AQ5" s="315">
        <v>1674971</v>
      </c>
      <c r="AR5" s="550">
        <v>697700</v>
      </c>
      <c r="AS5" s="315">
        <v>424886</v>
      </c>
      <c r="AT5" s="315">
        <v>17611246</v>
      </c>
      <c r="AU5" s="11"/>
      <c r="AV5" s="305">
        <v>1788837</v>
      </c>
      <c r="AW5" s="334">
        <v>638113</v>
      </c>
      <c r="AX5" s="305">
        <v>371565</v>
      </c>
      <c r="AY5" s="305">
        <v>17380517</v>
      </c>
      <c r="AZ5" s="11"/>
      <c r="BA5" s="305">
        <v>6719943</v>
      </c>
      <c r="BB5" s="305">
        <v>2282685</v>
      </c>
      <c r="BC5" s="305">
        <v>1210925</v>
      </c>
      <c r="BD5" s="305">
        <v>17409160</v>
      </c>
      <c r="BE5" s="11"/>
      <c r="BF5" s="305">
        <v>1733033</v>
      </c>
      <c r="BG5" s="334">
        <v>488087</v>
      </c>
      <c r="BH5" s="305">
        <v>212156</v>
      </c>
      <c r="BI5" s="305">
        <v>17409160</v>
      </c>
      <c r="BJ5" s="306"/>
      <c r="BK5" s="305">
        <v>4986910</v>
      </c>
      <c r="BL5" s="305">
        <v>1794598</v>
      </c>
      <c r="BM5" s="305">
        <v>998769</v>
      </c>
      <c r="BN5" s="305">
        <v>16902087</v>
      </c>
      <c r="BO5" s="305"/>
      <c r="BP5" s="305">
        <v>1618916</v>
      </c>
      <c r="BQ5" s="305">
        <v>591288</v>
      </c>
      <c r="BR5" s="305">
        <v>321449</v>
      </c>
      <c r="BS5" s="305">
        <v>16902087</v>
      </c>
      <c r="BT5" s="306"/>
      <c r="BU5" s="305">
        <v>3367994</v>
      </c>
      <c r="BV5" s="305">
        <v>1203310</v>
      </c>
      <c r="BW5" s="305">
        <v>677320</v>
      </c>
      <c r="BX5" s="305">
        <v>16825901</v>
      </c>
      <c r="BY5" s="306"/>
      <c r="BZ5" s="305">
        <f t="shared" si="0"/>
        <v>1634573</v>
      </c>
      <c r="CA5" s="305">
        <f t="shared" si="0"/>
        <v>596299</v>
      </c>
      <c r="CB5" s="305">
        <f t="shared" si="0"/>
        <v>331709</v>
      </c>
      <c r="CC5" s="305">
        <f>CH5</f>
        <v>16773561</v>
      </c>
      <c r="CD5" s="306"/>
      <c r="CE5" s="305">
        <v>1733421</v>
      </c>
      <c r="CF5" s="305">
        <v>607011</v>
      </c>
      <c r="CG5" s="305">
        <v>345611</v>
      </c>
      <c r="CH5" s="305">
        <v>16773561</v>
      </c>
      <c r="CI5" s="306"/>
      <c r="CJ5" s="305">
        <v>6310216</v>
      </c>
      <c r="CK5" s="305">
        <v>2394812</v>
      </c>
      <c r="CL5" s="305">
        <v>1363236</v>
      </c>
      <c r="CM5" s="305">
        <v>16761938</v>
      </c>
      <c r="CN5" s="306"/>
      <c r="CO5" s="305">
        <v>1634118</v>
      </c>
      <c r="CP5" s="305">
        <v>685152</v>
      </c>
      <c r="CQ5" s="305">
        <v>416722</v>
      </c>
      <c r="CR5" s="305">
        <v>16761938</v>
      </c>
      <c r="CS5" s="306"/>
      <c r="CT5" s="305">
        <v>4676098</v>
      </c>
      <c r="CU5" s="305">
        <v>1709660</v>
      </c>
      <c r="CV5" s="305">
        <v>946514</v>
      </c>
      <c r="CW5" s="305">
        <v>16307098</v>
      </c>
      <c r="CX5" s="306"/>
      <c r="CY5" s="305">
        <v>1531592</v>
      </c>
      <c r="CZ5" s="305">
        <v>562063</v>
      </c>
      <c r="DA5" s="305">
        <v>302990</v>
      </c>
      <c r="DB5" s="305">
        <v>16307098</v>
      </c>
      <c r="DC5" s="306"/>
      <c r="DD5" s="305">
        <v>3144506</v>
      </c>
      <c r="DE5" s="305">
        <v>1147597</v>
      </c>
      <c r="DF5" s="305">
        <v>643524</v>
      </c>
      <c r="DG5" s="305">
        <v>16152899</v>
      </c>
      <c r="DH5" s="306"/>
      <c r="DI5" s="305">
        <v>1528119</v>
      </c>
      <c r="DJ5" s="305">
        <v>604338</v>
      </c>
      <c r="DK5" s="305">
        <v>351932</v>
      </c>
      <c r="DL5" s="305">
        <v>16152899</v>
      </c>
      <c r="DM5" s="306"/>
      <c r="DN5" s="305">
        <v>1616387</v>
      </c>
      <c r="DO5" s="305">
        <v>543259</v>
      </c>
      <c r="DP5" s="305">
        <v>291592</v>
      </c>
      <c r="DQ5" s="305">
        <v>16019643</v>
      </c>
      <c r="DR5" s="306"/>
      <c r="DS5" s="305">
        <v>6450274</v>
      </c>
      <c r="DT5" s="305">
        <v>2372129</v>
      </c>
      <c r="DU5" s="305">
        <v>1371577</v>
      </c>
      <c r="DV5" s="305">
        <v>15974893</v>
      </c>
      <c r="DW5" s="312"/>
      <c r="DX5" s="305">
        <v>1657399</v>
      </c>
      <c r="DY5" s="305">
        <v>532836</v>
      </c>
      <c r="DZ5" s="305">
        <v>264854</v>
      </c>
      <c r="EA5" s="305">
        <v>15974893</v>
      </c>
      <c r="EB5" s="312"/>
      <c r="EC5" s="305">
        <v>4792875</v>
      </c>
      <c r="ED5" s="305">
        <v>1839293</v>
      </c>
      <c r="EE5" s="305">
        <v>1106723</v>
      </c>
      <c r="EF5" s="305">
        <v>15402617</v>
      </c>
      <c r="EG5" s="306"/>
      <c r="EH5" s="305">
        <v>1564518</v>
      </c>
      <c r="EI5" s="305">
        <v>596633</v>
      </c>
      <c r="EJ5" s="305">
        <v>348307</v>
      </c>
      <c r="EK5" s="305">
        <v>15402617</v>
      </c>
      <c r="EL5" s="306"/>
      <c r="EM5" s="305">
        <v>3228357</v>
      </c>
      <c r="EN5" s="305">
        <v>1243279</v>
      </c>
      <c r="EO5" s="305">
        <v>758416</v>
      </c>
      <c r="EP5" s="305">
        <v>15222418</v>
      </c>
      <c r="EQ5" s="306"/>
      <c r="ER5" s="305">
        <v>1585385</v>
      </c>
      <c r="ES5" s="305">
        <v>696539</v>
      </c>
      <c r="ET5" s="305">
        <v>453363</v>
      </c>
      <c r="EU5" s="305">
        <v>15222418</v>
      </c>
      <c r="EV5" s="306"/>
      <c r="EW5" s="305">
        <v>1642972</v>
      </c>
      <c r="EX5" s="305">
        <v>546740</v>
      </c>
      <c r="EY5" s="305">
        <v>305053</v>
      </c>
      <c r="EZ5" s="305">
        <v>15087347</v>
      </c>
      <c r="FA5" s="306"/>
      <c r="FB5" s="312" t="s">
        <v>172</v>
      </c>
      <c r="FC5" s="305">
        <v>280998</v>
      </c>
      <c r="FD5" s="305">
        <v>180166</v>
      </c>
      <c r="FE5" s="305">
        <v>102577</v>
      </c>
      <c r="FF5" s="331">
        <v>1985920</v>
      </c>
      <c r="FG5" s="306"/>
      <c r="FH5" s="305">
        <v>215979</v>
      </c>
      <c r="FI5" s="305">
        <v>142418</v>
      </c>
      <c r="FJ5" s="305">
        <v>82343</v>
      </c>
      <c r="FK5" s="331">
        <v>1929270</v>
      </c>
      <c r="FL5" s="306"/>
      <c r="FM5" s="305">
        <v>144900</v>
      </c>
      <c r="FN5" s="305">
        <v>96716</v>
      </c>
      <c r="FO5" s="305">
        <v>56649</v>
      </c>
      <c r="FP5" s="331">
        <v>1929486</v>
      </c>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row>
    <row r="6" spans="1:216">
      <c r="A6" s="533" t="s">
        <v>168</v>
      </c>
      <c r="B6" s="11"/>
      <c r="C6" s="597">
        <v>7646295</v>
      </c>
      <c r="D6" s="598">
        <v>423242</v>
      </c>
      <c r="E6" s="597">
        <v>403630</v>
      </c>
      <c r="F6" s="597">
        <v>5007556</v>
      </c>
      <c r="G6" s="11"/>
      <c r="H6" s="597">
        <v>3734873</v>
      </c>
      <c r="I6" s="598">
        <v>258311</v>
      </c>
      <c r="J6" s="597">
        <v>248406</v>
      </c>
      <c r="K6" s="597">
        <v>5007556</v>
      </c>
      <c r="L6" s="11"/>
      <c r="M6" s="604">
        <v>3911422</v>
      </c>
      <c r="N6" s="605">
        <v>164931</v>
      </c>
      <c r="O6" s="604">
        <v>155224</v>
      </c>
      <c r="P6" s="604">
        <v>4159845</v>
      </c>
      <c r="Q6" s="11"/>
      <c r="R6" s="604">
        <v>14074115</v>
      </c>
      <c r="S6" s="604">
        <v>320543</v>
      </c>
      <c r="T6" s="604">
        <v>306481</v>
      </c>
      <c r="U6" s="604">
        <v>3379688</v>
      </c>
      <c r="W6" s="604">
        <v>4246144</v>
      </c>
      <c r="X6" s="605">
        <v>-130503</v>
      </c>
      <c r="Y6" s="604">
        <v>-139147</v>
      </c>
      <c r="Z6" s="604">
        <v>3379688</v>
      </c>
      <c r="AB6" s="604">
        <v>9827971</v>
      </c>
      <c r="AC6" s="605">
        <v>451046</v>
      </c>
      <c r="AD6" s="604">
        <v>445628</v>
      </c>
      <c r="AE6" s="604">
        <v>3730514</v>
      </c>
      <c r="AG6" s="604">
        <v>3415412</v>
      </c>
      <c r="AH6" s="605">
        <v>124688</v>
      </c>
      <c r="AI6" s="604">
        <v>123068</v>
      </c>
      <c r="AJ6" s="604">
        <v>3730514</v>
      </c>
      <c r="AL6" s="315">
        <v>6615132</v>
      </c>
      <c r="AM6" s="550">
        <v>326358</v>
      </c>
      <c r="AN6" s="315">
        <v>322560</v>
      </c>
      <c r="AO6" s="315">
        <v>2748081</v>
      </c>
      <c r="AQ6" s="315">
        <v>3161469</v>
      </c>
      <c r="AR6" s="550">
        <v>148570</v>
      </c>
      <c r="AS6" s="315">
        <v>146778</v>
      </c>
      <c r="AT6" s="315">
        <v>2748081</v>
      </c>
      <c r="AU6" s="11"/>
      <c r="AV6" s="305">
        <v>3453663</v>
      </c>
      <c r="AW6" s="334">
        <v>177788</v>
      </c>
      <c r="AX6" s="305">
        <v>175782</v>
      </c>
      <c r="AY6" s="305">
        <v>2878641</v>
      </c>
      <c r="AZ6" s="11"/>
      <c r="BA6" s="305">
        <v>13567887</v>
      </c>
      <c r="BB6" s="305">
        <v>841222</v>
      </c>
      <c r="BC6" s="305">
        <v>832216</v>
      </c>
      <c r="BD6" s="305">
        <v>3041966</v>
      </c>
      <c r="BE6" s="11"/>
      <c r="BF6" s="305">
        <v>3760678</v>
      </c>
      <c r="BG6" s="334">
        <v>150244</v>
      </c>
      <c r="BH6" s="305">
        <v>148297</v>
      </c>
      <c r="BI6" s="305">
        <v>3041966</v>
      </c>
      <c r="BJ6" s="306"/>
      <c r="BK6" s="305">
        <v>9807209</v>
      </c>
      <c r="BL6" s="305">
        <v>690978</v>
      </c>
      <c r="BM6" s="305">
        <v>683919</v>
      </c>
      <c r="BN6" s="305">
        <v>4130769</v>
      </c>
      <c r="BO6" s="305"/>
      <c r="BP6" s="305">
        <v>3130213</v>
      </c>
      <c r="BQ6" s="305">
        <v>145582</v>
      </c>
      <c r="BR6" s="305">
        <v>143502</v>
      </c>
      <c r="BS6" s="305">
        <v>4130769</v>
      </c>
      <c r="BT6" s="306"/>
      <c r="BU6" s="305">
        <v>6676996</v>
      </c>
      <c r="BV6" s="305">
        <v>545396</v>
      </c>
      <c r="BW6" s="305">
        <v>540417</v>
      </c>
      <c r="BX6" s="305">
        <v>2033300</v>
      </c>
      <c r="BY6" s="306"/>
      <c r="BZ6" s="305">
        <f t="shared" si="0"/>
        <v>3059559</v>
      </c>
      <c r="CA6" s="305">
        <f t="shared" si="0"/>
        <v>165425</v>
      </c>
      <c r="CB6" s="305">
        <f t="shared" si="0"/>
        <v>163143</v>
      </c>
      <c r="CC6" s="305">
        <f>CH6</f>
        <v>2252443</v>
      </c>
      <c r="CD6" s="306"/>
      <c r="CE6" s="305">
        <v>3617437</v>
      </c>
      <c r="CF6" s="305">
        <v>379971</v>
      </c>
      <c r="CG6" s="305">
        <v>377274</v>
      </c>
      <c r="CH6" s="305">
        <v>2252443</v>
      </c>
      <c r="CI6" s="306"/>
      <c r="CJ6" s="305">
        <v>14016190</v>
      </c>
      <c r="CK6" s="305">
        <v>490005</v>
      </c>
      <c r="CL6" s="305">
        <v>479374</v>
      </c>
      <c r="CM6" s="305">
        <v>2659458</v>
      </c>
      <c r="CN6" s="306"/>
      <c r="CO6" s="305">
        <v>3729207</v>
      </c>
      <c r="CP6" s="305">
        <v>92886</v>
      </c>
      <c r="CQ6" s="305">
        <v>90563</v>
      </c>
      <c r="CR6" s="305">
        <v>2659458</v>
      </c>
      <c r="CS6" s="306"/>
      <c r="CT6" s="305">
        <v>10286983</v>
      </c>
      <c r="CU6" s="305">
        <v>397119</v>
      </c>
      <c r="CV6" s="305">
        <v>388811</v>
      </c>
      <c r="CW6" s="305">
        <v>2204864</v>
      </c>
      <c r="CX6" s="306"/>
      <c r="CY6" s="305">
        <v>3299797</v>
      </c>
      <c r="CZ6" s="305">
        <v>117315</v>
      </c>
      <c r="DA6" s="305">
        <v>114921</v>
      </c>
      <c r="DB6" s="305">
        <v>2204864</v>
      </c>
      <c r="DC6" s="306"/>
      <c r="DD6" s="305">
        <v>6987186</v>
      </c>
      <c r="DE6" s="305">
        <v>279804</v>
      </c>
      <c r="DF6" s="305">
        <v>273890</v>
      </c>
      <c r="DG6" s="305">
        <v>2310378</v>
      </c>
      <c r="DH6" s="306"/>
      <c r="DI6" s="305">
        <v>3395998</v>
      </c>
      <c r="DJ6" s="305">
        <v>113042</v>
      </c>
      <c r="DK6" s="305">
        <v>113669</v>
      </c>
      <c r="DL6" s="305">
        <v>2310378</v>
      </c>
      <c r="DM6" s="306"/>
      <c r="DN6" s="305">
        <v>3591188</v>
      </c>
      <c r="DO6" s="305">
        <v>166762</v>
      </c>
      <c r="DP6" s="305">
        <v>160221</v>
      </c>
      <c r="DQ6" s="305">
        <v>2398142</v>
      </c>
      <c r="DR6" s="306"/>
      <c r="DS6" s="305">
        <v>15984139</v>
      </c>
      <c r="DT6" s="305">
        <v>380480</v>
      </c>
      <c r="DU6" s="305">
        <v>369604</v>
      </c>
      <c r="DV6" s="305">
        <v>2706907</v>
      </c>
      <c r="DW6" s="312"/>
      <c r="DX6" s="305">
        <v>4170986</v>
      </c>
      <c r="DY6" s="305">
        <v>-71455</v>
      </c>
      <c r="DZ6" s="305">
        <v>-74193</v>
      </c>
      <c r="EA6" s="305">
        <v>2706907</v>
      </c>
      <c r="EB6" s="312"/>
      <c r="EC6" s="305">
        <v>11813153</v>
      </c>
      <c r="ED6" s="305">
        <v>451935</v>
      </c>
      <c r="EE6" s="305">
        <v>443797</v>
      </c>
      <c r="EF6" s="305">
        <v>3016254</v>
      </c>
      <c r="EG6" s="306"/>
      <c r="EH6" s="305">
        <v>3719173</v>
      </c>
      <c r="EI6" s="305">
        <v>116782</v>
      </c>
      <c r="EJ6" s="305">
        <v>114042</v>
      </c>
      <c r="EK6" s="305">
        <v>3016254</v>
      </c>
      <c r="EL6" s="306"/>
      <c r="EM6" s="305">
        <v>8093980</v>
      </c>
      <c r="EN6" s="305">
        <v>335153</v>
      </c>
      <c r="EO6" s="305">
        <v>329755</v>
      </c>
      <c r="EP6" s="305">
        <v>2836963</v>
      </c>
      <c r="EQ6" s="306"/>
      <c r="ER6" s="305">
        <v>3915698</v>
      </c>
      <c r="ES6" s="305">
        <v>141382</v>
      </c>
      <c r="ET6" s="305">
        <v>138710</v>
      </c>
      <c r="EU6" s="305">
        <v>2836963</v>
      </c>
      <c r="EV6" s="306"/>
      <c r="EW6" s="305">
        <v>4178282</v>
      </c>
      <c r="EX6" s="305">
        <v>193771</v>
      </c>
      <c r="EY6" s="305">
        <v>191045</v>
      </c>
      <c r="EZ6" s="305">
        <v>3003005</v>
      </c>
      <c r="FA6" s="306"/>
      <c r="FB6" s="312" t="s">
        <v>173</v>
      </c>
      <c r="FC6" s="305">
        <v>1355454</v>
      </c>
      <c r="FD6" s="305">
        <v>308407</v>
      </c>
      <c r="FE6" s="305">
        <v>158763</v>
      </c>
      <c r="FF6" s="305">
        <v>2781001</v>
      </c>
      <c r="FG6" s="306"/>
      <c r="FH6" s="305">
        <v>966998</v>
      </c>
      <c r="FI6" s="305">
        <v>181802</v>
      </c>
      <c r="FJ6" s="305">
        <v>71156</v>
      </c>
      <c r="FK6" s="305">
        <v>3101958</v>
      </c>
      <c r="FL6" s="306"/>
      <c r="FM6" s="305">
        <v>717877</v>
      </c>
      <c r="FN6" s="305">
        <v>165226</v>
      </c>
      <c r="FO6" s="305">
        <v>92480</v>
      </c>
      <c r="FP6" s="305">
        <v>2962505</v>
      </c>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row>
    <row r="7" spans="1:216">
      <c r="A7" s="535" t="s">
        <v>169</v>
      </c>
      <c r="B7" s="11"/>
      <c r="C7" s="599">
        <v>482929</v>
      </c>
      <c r="D7" s="600">
        <v>84462</v>
      </c>
      <c r="E7" s="599">
        <v>39365</v>
      </c>
      <c r="F7" s="599">
        <v>583361</v>
      </c>
      <c r="G7" s="11"/>
      <c r="H7" s="599">
        <v>234413</v>
      </c>
      <c r="I7" s="600">
        <v>40018</v>
      </c>
      <c r="J7" s="599">
        <v>17339</v>
      </c>
      <c r="K7" s="599">
        <v>583361</v>
      </c>
      <c r="L7" s="11"/>
      <c r="M7" s="606">
        <v>248516</v>
      </c>
      <c r="N7" s="607">
        <v>44444</v>
      </c>
      <c r="O7" s="606">
        <v>22026</v>
      </c>
      <c r="P7" s="606">
        <v>599593</v>
      </c>
      <c r="Q7" s="11"/>
      <c r="R7" s="606">
        <v>857462</v>
      </c>
      <c r="S7" s="606">
        <v>134793</v>
      </c>
      <c r="T7" s="606">
        <v>46023</v>
      </c>
      <c r="U7" s="606">
        <v>581497</v>
      </c>
      <c r="W7" s="606">
        <v>240979</v>
      </c>
      <c r="X7" s="607">
        <v>4545</v>
      </c>
      <c r="Y7" s="606">
        <v>-16871</v>
      </c>
      <c r="Z7" s="606">
        <v>581497</v>
      </c>
      <c r="AB7" s="606">
        <v>616483</v>
      </c>
      <c r="AC7" s="607">
        <v>130248</v>
      </c>
      <c r="AD7" s="606">
        <v>62894</v>
      </c>
      <c r="AE7" s="606">
        <v>501583</v>
      </c>
      <c r="AG7" s="606">
        <v>201877</v>
      </c>
      <c r="AH7" s="607">
        <v>41536</v>
      </c>
      <c r="AI7" s="606">
        <v>18622</v>
      </c>
      <c r="AJ7" s="606">
        <v>501583</v>
      </c>
      <c r="AL7" s="551">
        <v>414606</v>
      </c>
      <c r="AM7" s="552">
        <v>88712</v>
      </c>
      <c r="AN7" s="551">
        <v>44272</v>
      </c>
      <c r="AO7" s="551">
        <v>511896</v>
      </c>
      <c r="AQ7" s="551">
        <v>219053</v>
      </c>
      <c r="AR7" s="552">
        <v>49009</v>
      </c>
      <c r="AS7" s="551">
        <v>25412</v>
      </c>
      <c r="AT7" s="551">
        <v>511896</v>
      </c>
      <c r="AU7" s="11"/>
      <c r="AV7" s="332">
        <v>195553</v>
      </c>
      <c r="AW7" s="335">
        <v>39703</v>
      </c>
      <c r="AX7" s="332">
        <v>18860</v>
      </c>
      <c r="AY7" s="332">
        <v>507173</v>
      </c>
      <c r="AZ7" s="11"/>
      <c r="BA7" s="332">
        <v>804560</v>
      </c>
      <c r="BB7" s="332">
        <v>118043</v>
      </c>
      <c r="BC7" s="332">
        <v>35902</v>
      </c>
      <c r="BD7" s="332">
        <v>508825</v>
      </c>
      <c r="BE7" s="11"/>
      <c r="BF7" s="332">
        <v>206198</v>
      </c>
      <c r="BG7" s="335">
        <v>3431</v>
      </c>
      <c r="BH7" s="332">
        <v>-19915</v>
      </c>
      <c r="BI7" s="332">
        <v>508825</v>
      </c>
      <c r="BJ7" s="306"/>
      <c r="BK7" s="332">
        <v>598362</v>
      </c>
      <c r="BL7" s="332">
        <v>114612</v>
      </c>
      <c r="BM7" s="332">
        <v>55817</v>
      </c>
      <c r="BN7" s="332">
        <v>455307</v>
      </c>
      <c r="BO7" s="332"/>
      <c r="BP7" s="332">
        <v>205774</v>
      </c>
      <c r="BQ7" s="332">
        <v>37977</v>
      </c>
      <c r="BR7" s="332">
        <v>17870</v>
      </c>
      <c r="BS7" s="332">
        <v>455307</v>
      </c>
      <c r="BT7" s="306"/>
      <c r="BU7" s="332">
        <v>392588</v>
      </c>
      <c r="BV7" s="332">
        <v>76635</v>
      </c>
      <c r="BW7" s="332">
        <v>37947</v>
      </c>
      <c r="BX7" s="332">
        <v>445341</v>
      </c>
      <c r="BY7" s="306"/>
      <c r="BZ7" s="332">
        <f t="shared" si="0"/>
        <v>197807</v>
      </c>
      <c r="CA7" s="332">
        <f t="shared" si="0"/>
        <v>40909</v>
      </c>
      <c r="CB7" s="332">
        <f t="shared" si="0"/>
        <v>21212</v>
      </c>
      <c r="CC7" s="332">
        <f>CH7</f>
        <v>461173</v>
      </c>
      <c r="CD7" s="306"/>
      <c r="CE7" s="332">
        <v>194781</v>
      </c>
      <c r="CF7" s="332">
        <v>35726</v>
      </c>
      <c r="CG7" s="332">
        <v>16735</v>
      </c>
      <c r="CH7" s="332">
        <v>461173</v>
      </c>
      <c r="CI7" s="306"/>
      <c r="CJ7" s="332">
        <v>827928</v>
      </c>
      <c r="CK7" s="332">
        <v>114570</v>
      </c>
      <c r="CL7" s="332">
        <v>42642</v>
      </c>
      <c r="CM7" s="332">
        <v>468202</v>
      </c>
      <c r="CN7" s="306"/>
      <c r="CO7" s="332">
        <v>211032</v>
      </c>
      <c r="CP7" s="332">
        <v>12302</v>
      </c>
      <c r="CQ7" s="332">
        <v>-5504</v>
      </c>
      <c r="CR7" s="332">
        <v>468202</v>
      </c>
      <c r="CS7" s="306"/>
      <c r="CT7" s="332">
        <v>616896</v>
      </c>
      <c r="CU7" s="332">
        <v>102268</v>
      </c>
      <c r="CV7" s="332">
        <v>48146</v>
      </c>
      <c r="CW7" s="332">
        <v>433699</v>
      </c>
      <c r="CX7" s="306"/>
      <c r="CY7" s="332">
        <v>188053</v>
      </c>
      <c r="CZ7" s="332">
        <v>36232</v>
      </c>
      <c r="DA7" s="332">
        <v>18324</v>
      </c>
      <c r="DB7" s="332">
        <v>433699</v>
      </c>
      <c r="DC7" s="306"/>
      <c r="DD7" s="332">
        <v>428843</v>
      </c>
      <c r="DE7" s="332">
        <v>66036</v>
      </c>
      <c r="DF7" s="332">
        <v>29822</v>
      </c>
      <c r="DG7" s="332">
        <v>443449</v>
      </c>
      <c r="DH7" s="306"/>
      <c r="DI7" s="332">
        <v>211401</v>
      </c>
      <c r="DJ7" s="332">
        <v>35550</v>
      </c>
      <c r="DK7" s="332">
        <v>17383</v>
      </c>
      <c r="DL7" s="332">
        <v>443449</v>
      </c>
      <c r="DM7" s="306"/>
      <c r="DN7" s="332">
        <v>217442</v>
      </c>
      <c r="DO7" s="332">
        <v>30486</v>
      </c>
      <c r="DP7" s="332">
        <v>12439</v>
      </c>
      <c r="DQ7" s="332">
        <v>460262</v>
      </c>
      <c r="DR7" s="306"/>
      <c r="DS7" s="332">
        <v>927953</v>
      </c>
      <c r="DT7" s="332">
        <v>100320</v>
      </c>
      <c r="DU7" s="332">
        <v>32596</v>
      </c>
      <c r="DV7" s="332">
        <v>478618</v>
      </c>
      <c r="DW7" s="312"/>
      <c r="DX7" s="332">
        <v>225159</v>
      </c>
      <c r="DY7" s="332">
        <v>2137</v>
      </c>
      <c r="DZ7" s="332">
        <v>-15376</v>
      </c>
      <c r="EA7" s="332">
        <v>478618</v>
      </c>
      <c r="EB7" s="312"/>
      <c r="EC7" s="332">
        <v>702794</v>
      </c>
      <c r="ED7" s="332">
        <v>98183</v>
      </c>
      <c r="EE7" s="332">
        <v>47972</v>
      </c>
      <c r="EF7" s="332">
        <v>438649</v>
      </c>
      <c r="EG7" s="306"/>
      <c r="EH7" s="332">
        <v>199648</v>
      </c>
      <c r="EI7" s="332">
        <v>37188</v>
      </c>
      <c r="EJ7" s="332">
        <v>20076</v>
      </c>
      <c r="EK7" s="332">
        <v>438649</v>
      </c>
      <c r="EL7" s="306"/>
      <c r="EM7" s="332">
        <v>503146</v>
      </c>
      <c r="EN7" s="332">
        <v>60856</v>
      </c>
      <c r="EO7" s="332">
        <v>27896</v>
      </c>
      <c r="EP7" s="332">
        <v>448459</v>
      </c>
      <c r="EQ7" s="306"/>
      <c r="ER7" s="332">
        <v>239006</v>
      </c>
      <c r="ES7" s="332">
        <v>17517</v>
      </c>
      <c r="ET7" s="332">
        <v>789</v>
      </c>
      <c r="EU7" s="332">
        <v>448459</v>
      </c>
      <c r="EV7" s="306"/>
      <c r="EW7" s="332">
        <v>264140</v>
      </c>
      <c r="EX7" s="332">
        <v>43339</v>
      </c>
      <c r="EY7" s="332">
        <v>27107</v>
      </c>
      <c r="EZ7" s="332">
        <v>484742</v>
      </c>
      <c r="FA7" s="306"/>
      <c r="FB7" s="312" t="s">
        <v>174</v>
      </c>
      <c r="FC7" s="305">
        <v>6074646</v>
      </c>
      <c r="FD7" s="305">
        <v>2157136</v>
      </c>
      <c r="FE7" s="305">
        <v>1209344</v>
      </c>
      <c r="FF7" s="331">
        <v>15012125</v>
      </c>
      <c r="FG7" s="306"/>
      <c r="FH7" s="305">
        <v>4528811</v>
      </c>
      <c r="FI7" s="305">
        <v>1777840</v>
      </c>
      <c r="FJ7" s="305">
        <v>1070837</v>
      </c>
      <c r="FK7" s="331">
        <v>14581007</v>
      </c>
      <c r="FL7" s="306"/>
      <c r="FM7" s="305">
        <v>3048951</v>
      </c>
      <c r="FN7" s="305">
        <v>1169688</v>
      </c>
      <c r="FO7" s="305">
        <v>700012</v>
      </c>
      <c r="FP7" s="331">
        <v>14377042</v>
      </c>
      <c r="FQ7" s="306"/>
      <c r="FR7" s="306"/>
      <c r="FS7" s="306"/>
      <c r="FT7" s="306"/>
      <c r="FU7" s="306"/>
      <c r="FV7" s="306"/>
      <c r="FW7" s="306"/>
      <c r="FX7" s="306"/>
      <c r="FY7" s="306"/>
      <c r="FZ7" s="306"/>
      <c r="GA7" s="306"/>
      <c r="GB7" s="306"/>
      <c r="GC7" s="306"/>
      <c r="GD7" s="306"/>
      <c r="GE7" s="306"/>
      <c r="GF7" s="306"/>
      <c r="GG7" s="306"/>
      <c r="GH7" s="306"/>
      <c r="GI7" s="306"/>
      <c r="GJ7" s="306"/>
      <c r="GK7" s="306"/>
      <c r="GL7" s="306"/>
      <c r="GM7" s="306"/>
      <c r="GN7" s="306"/>
      <c r="GO7" s="306"/>
      <c r="GP7" s="306"/>
      <c r="GQ7" s="306"/>
      <c r="GR7" s="306"/>
      <c r="GS7" s="306"/>
      <c r="GT7" s="306"/>
      <c r="GU7" s="306"/>
      <c r="GV7" s="306"/>
      <c r="GW7" s="306"/>
      <c r="GX7" s="306"/>
      <c r="GY7" s="306"/>
      <c r="GZ7" s="306"/>
      <c r="HA7" s="306"/>
      <c r="HB7" s="306"/>
      <c r="HC7" s="306"/>
      <c r="HD7" s="306"/>
      <c r="HE7" s="306"/>
      <c r="HF7" s="306"/>
      <c r="HG7" s="306"/>
      <c r="HH7" s="306"/>
    </row>
    <row r="8" spans="1:216">
      <c r="A8" s="5"/>
      <c r="B8" s="11"/>
      <c r="C8" s="11"/>
      <c r="D8" s="293"/>
      <c r="E8" s="11"/>
      <c r="F8" s="11"/>
      <c r="G8" s="11"/>
      <c r="H8" s="11"/>
      <c r="I8" s="293"/>
      <c r="J8" s="11"/>
      <c r="K8" s="11"/>
      <c r="L8" s="11"/>
      <c r="M8" s="11"/>
      <c r="N8" s="293"/>
      <c r="O8" s="11"/>
      <c r="P8" s="11"/>
      <c r="Q8" s="11"/>
      <c r="S8" s="608"/>
      <c r="X8" s="608"/>
      <c r="AC8" s="608"/>
      <c r="AH8" s="608"/>
      <c r="AM8" s="333"/>
      <c r="AR8" s="333"/>
      <c r="AU8" s="11"/>
      <c r="AV8" s="306"/>
      <c r="AW8" s="333"/>
      <c r="AX8" s="306"/>
      <c r="AY8" s="306"/>
      <c r="AZ8" s="11"/>
      <c r="BA8" s="306"/>
      <c r="BB8" s="306"/>
      <c r="BC8" s="306"/>
      <c r="BD8" s="306"/>
      <c r="BE8" s="11"/>
      <c r="BF8" s="306"/>
      <c r="BG8" s="333"/>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306"/>
      <c r="DE8" s="306"/>
      <c r="DF8" s="306"/>
      <c r="DG8" s="306"/>
      <c r="DH8" s="306"/>
      <c r="DI8" s="306"/>
      <c r="DJ8" s="306"/>
      <c r="DK8" s="306"/>
      <c r="DL8" s="306"/>
      <c r="DM8" s="306"/>
      <c r="DN8" s="306"/>
      <c r="DO8" s="306"/>
      <c r="DP8" s="306"/>
      <c r="DQ8" s="306"/>
      <c r="DR8" s="306"/>
      <c r="DS8" s="306"/>
      <c r="DT8" s="306"/>
      <c r="DU8" s="306"/>
      <c r="DV8" s="306"/>
      <c r="DW8" s="327"/>
      <c r="DX8" s="306"/>
      <c r="DY8" s="306"/>
      <c r="DZ8" s="306"/>
      <c r="EA8" s="306"/>
      <c r="EB8" s="327"/>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12" t="s">
        <v>175</v>
      </c>
      <c r="FC8" s="305">
        <v>15277451</v>
      </c>
      <c r="FD8" s="305">
        <v>608213</v>
      </c>
      <c r="FE8" s="305">
        <v>582307</v>
      </c>
      <c r="FF8" s="331">
        <v>3715551</v>
      </c>
      <c r="FG8" s="306"/>
      <c r="FH8" s="305">
        <v>11266992</v>
      </c>
      <c r="FI8" s="305">
        <v>501464</v>
      </c>
      <c r="FJ8" s="305">
        <v>478799</v>
      </c>
      <c r="FK8" s="331">
        <v>2413083</v>
      </c>
      <c r="FL8" s="306"/>
      <c r="FM8" s="305">
        <v>7575109</v>
      </c>
      <c r="FN8" s="305">
        <v>391634</v>
      </c>
      <c r="FO8" s="305">
        <v>373508</v>
      </c>
      <c r="FP8" s="331">
        <v>2040729</v>
      </c>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row>
    <row r="9" spans="1:216">
      <c r="A9" s="5"/>
      <c r="B9" s="11"/>
      <c r="C9" s="11"/>
      <c r="D9" s="293"/>
      <c r="E9" s="11"/>
      <c r="F9" s="11"/>
      <c r="G9" s="11"/>
      <c r="H9" s="11"/>
      <c r="I9" s="293"/>
      <c r="J9" s="11"/>
      <c r="K9" s="11"/>
      <c r="L9" s="11"/>
      <c r="M9" s="11"/>
      <c r="N9" s="293"/>
      <c r="O9" s="11"/>
      <c r="P9" s="11"/>
      <c r="Q9" s="11"/>
      <c r="S9" s="608"/>
      <c r="X9" s="608"/>
      <c r="AC9" s="608"/>
      <c r="AH9" s="608"/>
      <c r="AM9" s="333"/>
      <c r="AR9" s="333"/>
      <c r="AU9" s="11"/>
      <c r="AV9" s="306"/>
      <c r="AW9" s="333"/>
      <c r="AX9" s="306"/>
      <c r="AY9" s="306"/>
      <c r="AZ9" s="11"/>
      <c r="BA9" s="306"/>
      <c r="BB9" s="306"/>
      <c r="BC9" s="306"/>
      <c r="BD9" s="306"/>
      <c r="BE9" s="11"/>
      <c r="BF9" s="306"/>
      <c r="BG9" s="333"/>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27"/>
      <c r="DX9" s="306"/>
      <c r="DY9" s="306"/>
      <c r="DZ9" s="306"/>
      <c r="EA9" s="306"/>
      <c r="EB9" s="327"/>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12" t="s">
        <v>176</v>
      </c>
      <c r="FC9" s="305">
        <v>610021</v>
      </c>
      <c r="FD9" s="305">
        <v>84165</v>
      </c>
      <c r="FE9" s="305">
        <v>41120</v>
      </c>
      <c r="FF9" s="305">
        <v>267663</v>
      </c>
      <c r="FG9" s="306"/>
      <c r="FH9" s="305">
        <v>456151</v>
      </c>
      <c r="FI9" s="305">
        <v>86553</v>
      </c>
      <c r="FJ9" s="305">
        <v>56211</v>
      </c>
      <c r="FK9" s="305">
        <v>230454</v>
      </c>
      <c r="FL9" s="306"/>
      <c r="FM9" s="305">
        <v>300764</v>
      </c>
      <c r="FN9" s="305">
        <v>55352</v>
      </c>
      <c r="FO9" s="305">
        <v>36866</v>
      </c>
      <c r="FP9" s="305">
        <v>222294</v>
      </c>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row>
    <row r="10" spans="1:216" ht="51">
      <c r="A10" s="73" t="s">
        <v>477</v>
      </c>
      <c r="B10" s="11"/>
      <c r="C10" s="70" t="s">
        <v>882</v>
      </c>
      <c r="D10" s="70" t="s">
        <v>883</v>
      </c>
      <c r="E10" s="70" t="s">
        <v>884</v>
      </c>
      <c r="F10" s="70" t="s">
        <v>850</v>
      </c>
      <c r="G10" s="11"/>
      <c r="H10" s="70" t="s">
        <v>991</v>
      </c>
      <c r="I10" s="70" t="s">
        <v>848</v>
      </c>
      <c r="J10" s="70" t="s">
        <v>849</v>
      </c>
      <c r="K10" s="70" t="s">
        <v>850</v>
      </c>
      <c r="L10" s="11"/>
      <c r="M10" s="70" t="s">
        <v>198</v>
      </c>
      <c r="N10" s="70" t="s">
        <v>199</v>
      </c>
      <c r="O10" s="70" t="s">
        <v>201</v>
      </c>
      <c r="P10" s="70" t="s">
        <v>203</v>
      </c>
      <c r="Q10" s="11"/>
      <c r="R10" s="603" t="s">
        <v>290</v>
      </c>
      <c r="S10" s="603" t="s">
        <v>934</v>
      </c>
      <c r="T10" s="603" t="s">
        <v>935</v>
      </c>
      <c r="U10" s="603" t="s">
        <v>210</v>
      </c>
      <c r="W10" s="603" t="s">
        <v>205</v>
      </c>
      <c r="X10" s="603" t="s">
        <v>939</v>
      </c>
      <c r="Y10" s="603" t="s">
        <v>208</v>
      </c>
      <c r="Z10" s="603" t="s">
        <v>210</v>
      </c>
      <c r="AB10" s="603" t="s">
        <v>468</v>
      </c>
      <c r="AC10" s="603" t="s">
        <v>902</v>
      </c>
      <c r="AD10" s="603" t="s">
        <v>903</v>
      </c>
      <c r="AE10" s="603" t="s">
        <v>210</v>
      </c>
      <c r="AG10" s="603" t="s">
        <v>218</v>
      </c>
      <c r="AH10" s="603" t="s">
        <v>904</v>
      </c>
      <c r="AI10" s="603" t="s">
        <v>221</v>
      </c>
      <c r="AJ10" s="603" t="s">
        <v>210</v>
      </c>
      <c r="AL10" s="326" t="s">
        <v>233</v>
      </c>
      <c r="AM10" s="326" t="s">
        <v>886</v>
      </c>
      <c r="AN10" s="326" t="s">
        <v>237</v>
      </c>
      <c r="AO10" s="326" t="s">
        <v>210</v>
      </c>
      <c r="AQ10" s="326" t="s">
        <v>225</v>
      </c>
      <c r="AR10" s="326" t="s">
        <v>885</v>
      </c>
      <c r="AS10" s="326" t="s">
        <v>229</v>
      </c>
      <c r="AT10" s="326" t="s">
        <v>210</v>
      </c>
      <c r="AU10" s="11"/>
      <c r="AV10" s="326" t="s">
        <v>239</v>
      </c>
      <c r="AW10" s="326" t="s">
        <v>200</v>
      </c>
      <c r="AX10" s="326" t="s">
        <v>202</v>
      </c>
      <c r="AY10" s="326" t="s">
        <v>210</v>
      </c>
      <c r="AZ10" s="11"/>
      <c r="BA10" s="326" t="s">
        <v>211</v>
      </c>
      <c r="BB10" s="326" t="s">
        <v>214</v>
      </c>
      <c r="BC10" s="326" t="s">
        <v>215</v>
      </c>
      <c r="BD10" s="326" t="s">
        <v>216</v>
      </c>
      <c r="BE10" s="11"/>
      <c r="BF10" s="326" t="s">
        <v>289</v>
      </c>
      <c r="BG10" s="326" t="s">
        <v>207</v>
      </c>
      <c r="BH10" s="326" t="s">
        <v>209</v>
      </c>
      <c r="BI10" s="326" t="s">
        <v>232</v>
      </c>
      <c r="BJ10" s="306"/>
      <c r="BK10" s="326" t="s">
        <v>469</v>
      </c>
      <c r="BL10" s="326" t="s">
        <v>470</v>
      </c>
      <c r="BM10" s="326" t="s">
        <v>473</v>
      </c>
      <c r="BN10" s="326" t="s">
        <v>224</v>
      </c>
      <c r="BO10" s="326"/>
      <c r="BP10" s="326" t="s">
        <v>288</v>
      </c>
      <c r="BQ10" s="326" t="s">
        <v>220</v>
      </c>
      <c r="BR10" s="326" t="s">
        <v>222</v>
      </c>
      <c r="BS10" s="326" t="s">
        <v>224</v>
      </c>
      <c r="BT10" s="306"/>
      <c r="BU10" s="326" t="s">
        <v>234</v>
      </c>
      <c r="BV10" s="326" t="s">
        <v>236</v>
      </c>
      <c r="BW10" s="326" t="s">
        <v>238</v>
      </c>
      <c r="BX10" s="326" t="s">
        <v>216</v>
      </c>
      <c r="BY10" s="306"/>
      <c r="BZ10" s="326" t="s">
        <v>226</v>
      </c>
      <c r="CA10" s="326" t="s">
        <v>228</v>
      </c>
      <c r="CB10" s="326" t="s">
        <v>230</v>
      </c>
      <c r="CC10" s="326" t="s">
        <v>232</v>
      </c>
      <c r="CD10" s="306"/>
      <c r="CE10" s="326" t="s">
        <v>240</v>
      </c>
      <c r="CF10" s="326" t="s">
        <v>242</v>
      </c>
      <c r="CG10" s="326" t="s">
        <v>243</v>
      </c>
      <c r="CH10" s="326" t="s">
        <v>232</v>
      </c>
      <c r="CI10" s="306"/>
      <c r="CJ10" s="326" t="s">
        <v>245</v>
      </c>
      <c r="CK10" s="326" t="s">
        <v>246</v>
      </c>
      <c r="CL10" s="326" t="s">
        <v>247</v>
      </c>
      <c r="CM10" s="326" t="s">
        <v>248</v>
      </c>
      <c r="CN10" s="306"/>
      <c r="CO10" s="326" t="s">
        <v>455</v>
      </c>
      <c r="CP10" s="326" t="s">
        <v>435</v>
      </c>
      <c r="CQ10" s="326" t="s">
        <v>436</v>
      </c>
      <c r="CR10" s="326" t="s">
        <v>248</v>
      </c>
      <c r="CS10" s="306"/>
      <c r="CT10" s="326" t="s">
        <v>443</v>
      </c>
      <c r="CU10" s="326" t="s">
        <v>442</v>
      </c>
      <c r="CV10" s="326" t="s">
        <v>441</v>
      </c>
      <c r="CW10" s="326" t="s">
        <v>249</v>
      </c>
      <c r="CX10" s="306"/>
      <c r="CY10" s="326" t="s">
        <v>446</v>
      </c>
      <c r="CZ10" s="326" t="s">
        <v>447</v>
      </c>
      <c r="DA10" s="326" t="s">
        <v>863</v>
      </c>
      <c r="DB10" s="326" t="s">
        <v>249</v>
      </c>
      <c r="DC10" s="306"/>
      <c r="DD10" s="326" t="s">
        <v>448</v>
      </c>
      <c r="DE10" s="326" t="s">
        <v>861</v>
      </c>
      <c r="DF10" s="326" t="s">
        <v>859</v>
      </c>
      <c r="DG10" s="326" t="s">
        <v>251</v>
      </c>
      <c r="DH10" s="306"/>
      <c r="DI10" s="326" t="s">
        <v>452</v>
      </c>
      <c r="DJ10" s="326" t="s">
        <v>451</v>
      </c>
      <c r="DK10" s="326" t="s">
        <v>854</v>
      </c>
      <c r="DL10" s="326" t="s">
        <v>251</v>
      </c>
      <c r="DM10" s="306"/>
      <c r="DN10" s="326" t="s">
        <v>454</v>
      </c>
      <c r="DO10" s="326" t="s">
        <v>462</v>
      </c>
      <c r="DP10" s="326" t="s">
        <v>852</v>
      </c>
      <c r="DQ10" s="326" t="s">
        <v>252</v>
      </c>
      <c r="DR10" s="306"/>
      <c r="DS10" s="326" t="s">
        <v>258</v>
      </c>
      <c r="DT10" s="309" t="s">
        <v>259</v>
      </c>
      <c r="DU10" s="309" t="s">
        <v>260</v>
      </c>
      <c r="DV10" s="326" t="s">
        <v>261</v>
      </c>
      <c r="DW10" s="327"/>
      <c r="DX10" s="326" t="s">
        <v>874</v>
      </c>
      <c r="DY10" s="309" t="s">
        <v>872</v>
      </c>
      <c r="DZ10" s="309" t="s">
        <v>870</v>
      </c>
      <c r="EA10" s="326" t="s">
        <v>261</v>
      </c>
      <c r="EB10" s="328"/>
      <c r="EC10" s="326" t="s">
        <v>457</v>
      </c>
      <c r="ED10" s="326" t="s">
        <v>458</v>
      </c>
      <c r="EE10" s="309" t="s">
        <v>459</v>
      </c>
      <c r="EF10" s="326" t="s">
        <v>262</v>
      </c>
      <c r="EG10" s="306"/>
      <c r="EH10" s="326" t="s">
        <v>868</v>
      </c>
      <c r="EI10" s="326" t="s">
        <v>866</v>
      </c>
      <c r="EJ10" s="309" t="s">
        <v>864</v>
      </c>
      <c r="EK10" s="326" t="s">
        <v>262</v>
      </c>
      <c r="EL10" s="306"/>
      <c r="EM10" s="326" t="s">
        <v>461</v>
      </c>
      <c r="EN10" s="326" t="s">
        <v>862</v>
      </c>
      <c r="EO10" s="309" t="s">
        <v>860</v>
      </c>
      <c r="EP10" s="326" t="s">
        <v>264</v>
      </c>
      <c r="EQ10" s="306"/>
      <c r="ER10" s="326" t="s">
        <v>858</v>
      </c>
      <c r="ES10" s="326" t="s">
        <v>856</v>
      </c>
      <c r="ET10" s="326" t="s">
        <v>855</v>
      </c>
      <c r="EU10" s="326" t="s">
        <v>264</v>
      </c>
      <c r="EV10" s="306"/>
      <c r="EW10" s="326" t="s">
        <v>463</v>
      </c>
      <c r="EX10" s="309" t="s">
        <v>464</v>
      </c>
      <c r="EY10" s="309" t="s">
        <v>465</v>
      </c>
      <c r="EZ10" s="326" t="s">
        <v>266</v>
      </c>
      <c r="FA10" s="306"/>
      <c r="FB10" s="322" t="s">
        <v>177</v>
      </c>
      <c r="FC10" s="319">
        <v>261063</v>
      </c>
      <c r="FD10" s="319">
        <v>22158</v>
      </c>
      <c r="FE10" s="319">
        <v>15473</v>
      </c>
      <c r="FF10" s="319">
        <v>191933</v>
      </c>
      <c r="FG10" s="306"/>
      <c r="FH10" s="319">
        <v>203834</v>
      </c>
      <c r="FI10" s="319">
        <v>22996</v>
      </c>
      <c r="FJ10" s="319">
        <v>17890</v>
      </c>
      <c r="FK10" s="319">
        <v>160564</v>
      </c>
      <c r="FL10" s="306"/>
      <c r="FM10" s="319">
        <v>125080</v>
      </c>
      <c r="FN10" s="319">
        <v>11886</v>
      </c>
      <c r="FO10" s="319">
        <v>8501</v>
      </c>
      <c r="FP10" s="319">
        <v>182892</v>
      </c>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row>
    <row r="11" spans="1:216">
      <c r="A11" s="534" t="s">
        <v>165</v>
      </c>
      <c r="B11" s="11"/>
      <c r="C11" s="71">
        <v>678786</v>
      </c>
      <c r="D11" s="294">
        <v>2277</v>
      </c>
      <c r="E11" s="71">
        <v>-866166</v>
      </c>
      <c r="F11" s="71">
        <v>1589823</v>
      </c>
      <c r="G11" s="11"/>
      <c r="H11" s="71">
        <v>293543</v>
      </c>
      <c r="I11" s="294">
        <v>-41474</v>
      </c>
      <c r="J11" s="71">
        <v>-842790</v>
      </c>
      <c r="K11" s="71">
        <v>1589823</v>
      </c>
      <c r="L11" s="11"/>
      <c r="M11" s="71">
        <v>385243</v>
      </c>
      <c r="N11" s="294">
        <v>43751</v>
      </c>
      <c r="O11" s="71">
        <v>-23376</v>
      </c>
      <c r="P11" s="71">
        <v>1589823</v>
      </c>
      <c r="Q11" s="11"/>
      <c r="R11" s="291">
        <v>1541425</v>
      </c>
      <c r="S11" s="609">
        <v>-83036</v>
      </c>
      <c r="T11" s="291">
        <v>-211070</v>
      </c>
      <c r="U11" s="291">
        <v>2085538</v>
      </c>
      <c r="W11" s="604">
        <v>422958</v>
      </c>
      <c r="X11" s="605">
        <v>-41352</v>
      </c>
      <c r="Y11" s="604">
        <v>-75834</v>
      </c>
      <c r="Z11" s="604">
        <v>2085538</v>
      </c>
      <c r="AB11" s="291">
        <v>1118467</v>
      </c>
      <c r="AC11" s="609">
        <v>-41684</v>
      </c>
      <c r="AD11" s="291">
        <v>-135236</v>
      </c>
      <c r="AE11" s="291">
        <v>2085538</v>
      </c>
      <c r="AG11" s="291">
        <v>336783</v>
      </c>
      <c r="AH11" s="609">
        <v>-36968</v>
      </c>
      <c r="AI11" s="291">
        <v>-69420</v>
      </c>
      <c r="AJ11" s="291">
        <v>2085538</v>
      </c>
      <c r="AL11" s="305">
        <v>781684</v>
      </c>
      <c r="AM11" s="334">
        <v>-4716</v>
      </c>
      <c r="AN11" s="305">
        <v>-65816</v>
      </c>
      <c r="AO11" s="305">
        <v>2085538</v>
      </c>
      <c r="AQ11" s="305">
        <v>397591</v>
      </c>
      <c r="AR11" s="334">
        <v>24737</v>
      </c>
      <c r="AS11" s="305">
        <v>-6171</v>
      </c>
      <c r="AT11" s="305">
        <v>2085538</v>
      </c>
      <c r="AU11" s="11"/>
      <c r="AV11" s="305">
        <v>384093</v>
      </c>
      <c r="AW11" s="334">
        <v>-29453</v>
      </c>
      <c r="AX11" s="305">
        <v>-59645</v>
      </c>
      <c r="AY11" s="305">
        <v>2085538</v>
      </c>
      <c r="AZ11" s="11"/>
      <c r="BA11" s="305">
        <v>1311143</v>
      </c>
      <c r="BB11" s="305">
        <v>-82130</v>
      </c>
      <c r="BC11" s="305">
        <v>-205163</v>
      </c>
      <c r="BD11" s="305">
        <v>2069263</v>
      </c>
      <c r="BE11" s="11"/>
      <c r="BF11" s="305">
        <v>423619</v>
      </c>
      <c r="BG11" s="334">
        <v>54528</v>
      </c>
      <c r="BH11" s="305">
        <v>23540</v>
      </c>
      <c r="BI11" s="305">
        <v>2069263</v>
      </c>
      <c r="BJ11" s="306"/>
      <c r="BK11" s="305">
        <v>887524</v>
      </c>
      <c r="BL11" s="305">
        <v>-136658</v>
      </c>
      <c r="BM11" s="305">
        <v>-228703</v>
      </c>
      <c r="BN11" s="305">
        <v>2069263</v>
      </c>
      <c r="BO11" s="305"/>
      <c r="BP11" s="305">
        <v>375392</v>
      </c>
      <c r="BQ11" s="305">
        <v>32590</v>
      </c>
      <c r="BR11" s="305">
        <v>1833</v>
      </c>
      <c r="BS11" s="305">
        <v>2069263</v>
      </c>
      <c r="BT11" s="306"/>
      <c r="BU11" s="305">
        <v>512132</v>
      </c>
      <c r="BV11" s="305">
        <v>-169248</v>
      </c>
      <c r="BW11" s="305">
        <v>-230536</v>
      </c>
      <c r="BX11" s="305">
        <v>2069263</v>
      </c>
      <c r="BY11" s="306"/>
      <c r="BZ11" s="305">
        <f t="shared" ref="BZ11:CB15" si="1">BU11-CE11</f>
        <v>257978</v>
      </c>
      <c r="CA11" s="305">
        <f t="shared" si="1"/>
        <v>-104490</v>
      </c>
      <c r="CB11" s="305">
        <f t="shared" si="1"/>
        <v>-127029</v>
      </c>
      <c r="CC11" s="305">
        <f>CH11</f>
        <v>2069263</v>
      </c>
      <c r="CD11" s="306"/>
      <c r="CE11" s="305">
        <v>254154</v>
      </c>
      <c r="CF11" s="305">
        <v>-64758</v>
      </c>
      <c r="CG11" s="305">
        <v>-103507</v>
      </c>
      <c r="CH11" s="305">
        <v>2069263</v>
      </c>
      <c r="CI11" s="306"/>
      <c r="CJ11" s="305">
        <v>1205944</v>
      </c>
      <c r="CK11" s="305">
        <v>9137</v>
      </c>
      <c r="CL11" s="305">
        <v>-104328</v>
      </c>
      <c r="CM11" s="305">
        <v>1657407</v>
      </c>
      <c r="CN11" s="306"/>
      <c r="CO11" s="305">
        <v>331130</v>
      </c>
      <c r="CP11" s="305">
        <v>32369</v>
      </c>
      <c r="CQ11" s="305">
        <v>3251</v>
      </c>
      <c r="CR11" s="305">
        <v>1657407</v>
      </c>
      <c r="CS11" s="306"/>
      <c r="CT11" s="305">
        <v>874814</v>
      </c>
      <c r="CU11" s="305">
        <v>-23232</v>
      </c>
      <c r="CV11" s="305">
        <v>-107579</v>
      </c>
      <c r="CW11" s="305">
        <v>1657407</v>
      </c>
      <c r="CX11" s="306"/>
      <c r="CY11" s="305">
        <v>332863</v>
      </c>
      <c r="CZ11" s="305">
        <v>134670</v>
      </c>
      <c r="DA11" s="305">
        <v>106686</v>
      </c>
      <c r="DB11" s="305">
        <v>1657407</v>
      </c>
      <c r="DC11" s="306"/>
      <c r="DD11" s="305">
        <v>541951</v>
      </c>
      <c r="DE11" s="305">
        <v>-157902</v>
      </c>
      <c r="DF11" s="305">
        <v>-214265</v>
      </c>
      <c r="DG11" s="305">
        <v>1657407</v>
      </c>
      <c r="DH11" s="306"/>
      <c r="DI11" s="305">
        <v>273192</v>
      </c>
      <c r="DJ11" s="305">
        <v>-113811</v>
      </c>
      <c r="DK11" s="305">
        <v>-142220</v>
      </c>
      <c r="DL11" s="305">
        <v>1657407</v>
      </c>
      <c r="DM11" s="306"/>
      <c r="DN11" s="305">
        <v>268759</v>
      </c>
      <c r="DO11" s="305">
        <v>-44091</v>
      </c>
      <c r="DP11" s="305">
        <v>-72045</v>
      </c>
      <c r="DQ11" s="305">
        <v>1657407</v>
      </c>
      <c r="DR11" s="306"/>
      <c r="DS11" s="305">
        <v>1194024</v>
      </c>
      <c r="DT11" s="305">
        <v>98420</v>
      </c>
      <c r="DU11" s="305">
        <v>-6829</v>
      </c>
      <c r="DV11" s="305">
        <v>1742510</v>
      </c>
      <c r="DW11" s="312"/>
      <c r="DX11" s="305">
        <v>323181</v>
      </c>
      <c r="DY11" s="305">
        <v>14867</v>
      </c>
      <c r="DZ11" s="305">
        <v>-12176</v>
      </c>
      <c r="EA11" s="305">
        <v>1742510</v>
      </c>
      <c r="EB11" s="312"/>
      <c r="EC11" s="305">
        <v>870843</v>
      </c>
      <c r="ED11" s="305">
        <v>83553</v>
      </c>
      <c r="EE11" s="305">
        <v>5347</v>
      </c>
      <c r="EF11" s="305">
        <v>1742510</v>
      </c>
      <c r="EG11" s="306"/>
      <c r="EH11" s="305">
        <v>341431</v>
      </c>
      <c r="EI11" s="305">
        <v>55252</v>
      </c>
      <c r="EJ11" s="305">
        <v>29132</v>
      </c>
      <c r="EK11" s="305">
        <v>1742510</v>
      </c>
      <c r="EL11" s="306"/>
      <c r="EM11" s="305">
        <v>529412</v>
      </c>
      <c r="EN11" s="305">
        <v>28174</v>
      </c>
      <c r="EO11" s="305">
        <v>-23785</v>
      </c>
      <c r="EP11" s="305">
        <v>1742510</v>
      </c>
      <c r="EQ11" s="306"/>
      <c r="ER11" s="305">
        <v>281247</v>
      </c>
      <c r="ES11" s="305">
        <v>8471</v>
      </c>
      <c r="ET11" s="305">
        <v>-16826</v>
      </c>
      <c r="EU11" s="305">
        <v>1742510</v>
      </c>
      <c r="EV11" s="306"/>
      <c r="EW11" s="305">
        <v>248165</v>
      </c>
      <c r="EX11" s="305">
        <v>19703</v>
      </c>
      <c r="EY11" s="305">
        <v>-6959</v>
      </c>
      <c r="EZ11" s="305">
        <v>1742510</v>
      </c>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row>
    <row r="12" spans="1:216">
      <c r="A12" s="533" t="s">
        <v>166</v>
      </c>
      <c r="B12" s="11"/>
      <c r="C12" s="71">
        <v>2119352</v>
      </c>
      <c r="D12" s="294">
        <v>591750</v>
      </c>
      <c r="E12" s="71">
        <v>740849</v>
      </c>
      <c r="F12" s="71">
        <v>12712861</v>
      </c>
      <c r="G12" s="11"/>
      <c r="H12" s="71">
        <v>947169</v>
      </c>
      <c r="I12" s="294">
        <v>126438</v>
      </c>
      <c r="J12" s="71">
        <v>369183</v>
      </c>
      <c r="K12" s="71">
        <v>12712861</v>
      </c>
      <c r="L12" s="11"/>
      <c r="M12" s="71">
        <v>1172183</v>
      </c>
      <c r="N12" s="294">
        <v>465312</v>
      </c>
      <c r="O12" s="71">
        <v>371666</v>
      </c>
      <c r="P12" s="71">
        <v>12712861</v>
      </c>
      <c r="Q12" s="11"/>
      <c r="R12" s="291">
        <v>4537002</v>
      </c>
      <c r="S12" s="609">
        <v>537024</v>
      </c>
      <c r="T12" s="291">
        <v>89645</v>
      </c>
      <c r="U12" s="291">
        <v>11798018</v>
      </c>
      <c r="W12" s="604">
        <v>1209501</v>
      </c>
      <c r="X12" s="605">
        <v>81095</v>
      </c>
      <c r="Y12" s="604">
        <v>-24074</v>
      </c>
      <c r="Z12" s="604">
        <v>11798018</v>
      </c>
      <c r="AB12" s="291">
        <v>3327501</v>
      </c>
      <c r="AC12" s="609">
        <v>455929</v>
      </c>
      <c r="AD12" s="291">
        <v>113719</v>
      </c>
      <c r="AE12" s="291">
        <v>11798018</v>
      </c>
      <c r="AG12" s="291">
        <v>1042672</v>
      </c>
      <c r="AH12" s="609">
        <v>91128</v>
      </c>
      <c r="AI12" s="291">
        <v>-25053</v>
      </c>
      <c r="AJ12" s="291">
        <v>11798018</v>
      </c>
      <c r="AL12" s="305">
        <v>2284829</v>
      </c>
      <c r="AM12" s="334">
        <v>364801</v>
      </c>
      <c r="AN12" s="305">
        <v>138772</v>
      </c>
      <c r="AO12" s="305">
        <v>11798018</v>
      </c>
      <c r="AQ12" s="305">
        <v>1064128</v>
      </c>
      <c r="AR12" s="334">
        <v>136894</v>
      </c>
      <c r="AS12" s="305">
        <v>9273</v>
      </c>
      <c r="AT12" s="305">
        <v>11798018</v>
      </c>
      <c r="AU12" s="11"/>
      <c r="AV12" s="305">
        <v>1220701</v>
      </c>
      <c r="AW12" s="334">
        <v>227907</v>
      </c>
      <c r="AX12" s="305">
        <v>129499</v>
      </c>
      <c r="AY12" s="305">
        <v>11798018</v>
      </c>
      <c r="AZ12" s="11"/>
      <c r="BA12" s="305">
        <v>4356101</v>
      </c>
      <c r="BB12" s="305">
        <v>545311</v>
      </c>
      <c r="BC12" s="305">
        <v>-752813</v>
      </c>
      <c r="BD12" s="305">
        <v>10874288</v>
      </c>
      <c r="BE12" s="11"/>
      <c r="BF12" s="305">
        <v>1112410</v>
      </c>
      <c r="BG12" s="334">
        <v>98202</v>
      </c>
      <c r="BH12" s="305">
        <v>-182972</v>
      </c>
      <c r="BI12" s="305">
        <v>10874288</v>
      </c>
      <c r="BJ12" s="306"/>
      <c r="BK12" s="305">
        <v>3243691</v>
      </c>
      <c r="BL12" s="305">
        <v>447109</v>
      </c>
      <c r="BM12" s="305">
        <v>-569841</v>
      </c>
      <c r="BN12" s="305">
        <v>10412940</v>
      </c>
      <c r="BO12" s="305"/>
      <c r="BP12" s="305">
        <v>901057</v>
      </c>
      <c r="BQ12" s="305">
        <v>93148</v>
      </c>
      <c r="BR12" s="305">
        <v>-11530</v>
      </c>
      <c r="BS12" s="305">
        <v>10412940</v>
      </c>
      <c r="BT12" s="306"/>
      <c r="BU12" s="305">
        <v>2342634</v>
      </c>
      <c r="BV12" s="305">
        <v>353961</v>
      </c>
      <c r="BW12" s="305">
        <v>-558311</v>
      </c>
      <c r="BX12" s="305">
        <v>10874288</v>
      </c>
      <c r="BY12" s="306"/>
      <c r="BZ12" s="305">
        <f t="shared" si="1"/>
        <v>1070810</v>
      </c>
      <c r="CA12" s="305">
        <f t="shared" si="1"/>
        <v>162812</v>
      </c>
      <c r="CB12" s="305">
        <f t="shared" si="1"/>
        <v>-647533</v>
      </c>
      <c r="CC12" s="305">
        <f>CH12</f>
        <v>10874288</v>
      </c>
      <c r="CD12" s="306"/>
      <c r="CE12" s="305">
        <v>1271824</v>
      </c>
      <c r="CF12" s="305">
        <v>191149</v>
      </c>
      <c r="CG12" s="305">
        <v>89222</v>
      </c>
      <c r="CH12" s="305">
        <v>10874288</v>
      </c>
      <c r="CI12" s="306"/>
      <c r="CJ12" s="305">
        <v>5376280</v>
      </c>
      <c r="CK12" s="305">
        <v>754751</v>
      </c>
      <c r="CL12" s="305">
        <v>-3477076</v>
      </c>
      <c r="CM12" s="305">
        <v>10788413</v>
      </c>
      <c r="CN12" s="306"/>
      <c r="CO12" s="305">
        <v>1464821</v>
      </c>
      <c r="CP12" s="305">
        <v>190712</v>
      </c>
      <c r="CQ12" s="305">
        <v>-3607565</v>
      </c>
      <c r="CR12" s="305">
        <v>10788413</v>
      </c>
      <c r="CS12" s="306"/>
      <c r="CT12" s="305">
        <v>3911459</v>
      </c>
      <c r="CU12" s="305">
        <v>564039</v>
      </c>
      <c r="CV12" s="305">
        <v>130489</v>
      </c>
      <c r="CW12" s="305">
        <v>10788413</v>
      </c>
      <c r="CX12" s="306"/>
      <c r="CY12" s="305">
        <v>1164371</v>
      </c>
      <c r="CZ12" s="305">
        <v>97637</v>
      </c>
      <c r="DA12" s="305">
        <v>-51447</v>
      </c>
      <c r="DB12" s="305">
        <v>10788413</v>
      </c>
      <c r="DC12" s="306"/>
      <c r="DD12" s="305">
        <v>2747088</v>
      </c>
      <c r="DE12" s="305">
        <v>466402</v>
      </c>
      <c r="DF12" s="305">
        <v>181936</v>
      </c>
      <c r="DG12" s="305">
        <v>10788413</v>
      </c>
      <c r="DH12" s="306"/>
      <c r="DI12" s="305">
        <v>1184017</v>
      </c>
      <c r="DJ12" s="305">
        <v>188031</v>
      </c>
      <c r="DK12" s="305">
        <v>44376</v>
      </c>
      <c r="DL12" s="305">
        <v>10788413</v>
      </c>
      <c r="DM12" s="306"/>
      <c r="DN12" s="305">
        <v>1563071</v>
      </c>
      <c r="DO12" s="305">
        <v>278371</v>
      </c>
      <c r="DP12" s="305">
        <v>137560</v>
      </c>
      <c r="DQ12" s="305">
        <v>10788413</v>
      </c>
      <c r="DR12" s="306"/>
      <c r="DS12" s="305">
        <v>4963651</v>
      </c>
      <c r="DT12" s="305">
        <v>792803</v>
      </c>
      <c r="DU12" s="305">
        <v>72093</v>
      </c>
      <c r="DV12" s="305">
        <v>13160048</v>
      </c>
      <c r="DW12" s="312"/>
      <c r="DX12" s="305">
        <v>1379772.8041700004</v>
      </c>
      <c r="DY12" s="305">
        <v>258487</v>
      </c>
      <c r="DZ12" s="305">
        <v>72848</v>
      </c>
      <c r="EA12" s="305">
        <v>13160048</v>
      </c>
      <c r="EB12" s="312"/>
      <c r="EC12" s="305">
        <v>3583878.1958299996</v>
      </c>
      <c r="ED12" s="305">
        <v>534316</v>
      </c>
      <c r="EE12" s="305">
        <v>-755</v>
      </c>
      <c r="EF12" s="305">
        <v>13160048</v>
      </c>
      <c r="EG12" s="306"/>
      <c r="EH12" s="305">
        <v>1184469.1958299996</v>
      </c>
      <c r="EI12" s="305">
        <v>135550</v>
      </c>
      <c r="EJ12" s="305">
        <v>-39176</v>
      </c>
      <c r="EK12" s="305">
        <v>13160048</v>
      </c>
      <c r="EL12" s="306"/>
      <c r="EM12" s="305">
        <v>2320273.9343399997</v>
      </c>
      <c r="EN12" s="305">
        <v>388933</v>
      </c>
      <c r="EO12" s="305">
        <v>38421</v>
      </c>
      <c r="EP12" s="305">
        <v>13160048</v>
      </c>
      <c r="EQ12" s="306"/>
      <c r="ER12" s="305">
        <v>1067907.9343399997</v>
      </c>
      <c r="ES12" s="305">
        <v>136494</v>
      </c>
      <c r="ET12" s="305">
        <v>-38190</v>
      </c>
      <c r="EU12" s="305">
        <v>13160048</v>
      </c>
      <c r="EV12" s="306"/>
      <c r="EW12" s="305">
        <v>1252366</v>
      </c>
      <c r="EX12" s="305">
        <v>252439</v>
      </c>
      <c r="EY12" s="305">
        <v>76611</v>
      </c>
      <c r="EZ12" s="305">
        <v>13160048</v>
      </c>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row>
    <row r="13" spans="1:216" ht="15" customHeight="1">
      <c r="A13" s="533" t="s">
        <v>167</v>
      </c>
      <c r="B13" s="11"/>
      <c r="C13" s="71">
        <v>3024199</v>
      </c>
      <c r="D13" s="294">
        <v>1307666</v>
      </c>
      <c r="E13" s="71">
        <v>782817</v>
      </c>
      <c r="F13" s="71">
        <v>17923661</v>
      </c>
      <c r="G13" s="11"/>
      <c r="H13" s="71">
        <v>1453332</v>
      </c>
      <c r="I13" s="294">
        <v>679813</v>
      </c>
      <c r="J13" s="71">
        <v>414167</v>
      </c>
      <c r="K13" s="71">
        <v>17923661</v>
      </c>
      <c r="L13" s="11"/>
      <c r="M13" s="71">
        <v>1570867</v>
      </c>
      <c r="N13" s="294">
        <v>627853</v>
      </c>
      <c r="O13" s="71">
        <v>368650</v>
      </c>
      <c r="P13" s="71">
        <v>17923661</v>
      </c>
      <c r="Q13" s="11"/>
      <c r="R13" s="291">
        <v>6719943</v>
      </c>
      <c r="S13" s="609">
        <v>2282685</v>
      </c>
      <c r="T13" s="291">
        <v>1210925</v>
      </c>
      <c r="U13" s="291">
        <v>17409160</v>
      </c>
      <c r="W13" s="604">
        <v>1733033</v>
      </c>
      <c r="X13" s="605">
        <v>488087</v>
      </c>
      <c r="Y13" s="604">
        <v>212156</v>
      </c>
      <c r="Z13" s="604">
        <v>17409160</v>
      </c>
      <c r="AB13" s="291">
        <v>4986910</v>
      </c>
      <c r="AC13" s="609">
        <v>1794598</v>
      </c>
      <c r="AD13" s="291">
        <v>998769</v>
      </c>
      <c r="AE13" s="291">
        <v>17409160</v>
      </c>
      <c r="AG13" s="291">
        <v>1618916</v>
      </c>
      <c r="AH13" s="609">
        <v>591288</v>
      </c>
      <c r="AI13" s="291">
        <v>321449</v>
      </c>
      <c r="AJ13" s="291">
        <v>17409160</v>
      </c>
      <c r="AL13" s="305">
        <v>3367994</v>
      </c>
      <c r="AM13" s="334">
        <v>1203310</v>
      </c>
      <c r="AN13" s="305">
        <v>677320</v>
      </c>
      <c r="AO13" s="305">
        <v>17409160</v>
      </c>
      <c r="AQ13" s="305">
        <v>331709</v>
      </c>
      <c r="AR13" s="334">
        <v>596299</v>
      </c>
      <c r="AS13" s="305">
        <v>331709</v>
      </c>
      <c r="AT13" s="305">
        <v>17409160</v>
      </c>
      <c r="AU13" s="11"/>
      <c r="AV13" s="305">
        <v>1733421</v>
      </c>
      <c r="AW13" s="334">
        <v>607011</v>
      </c>
      <c r="AX13" s="305">
        <v>345611</v>
      </c>
      <c r="AY13" s="305">
        <v>17409160</v>
      </c>
      <c r="AZ13" s="11"/>
      <c r="BA13" s="305">
        <v>6310216</v>
      </c>
      <c r="BB13" s="305">
        <v>2394812</v>
      </c>
      <c r="BC13" s="305">
        <v>1363236</v>
      </c>
      <c r="BD13" s="305">
        <v>16761938</v>
      </c>
      <c r="BE13" s="11"/>
      <c r="BF13" s="305">
        <v>1634118</v>
      </c>
      <c r="BG13" s="334">
        <v>685152</v>
      </c>
      <c r="BH13" s="305">
        <v>416722</v>
      </c>
      <c r="BI13" s="305">
        <v>16761938</v>
      </c>
      <c r="BJ13" s="306"/>
      <c r="BK13" s="305">
        <v>4676098</v>
      </c>
      <c r="BL13" s="305">
        <v>1709660</v>
      </c>
      <c r="BM13" s="305">
        <v>946514</v>
      </c>
      <c r="BN13" s="305">
        <v>16761938</v>
      </c>
      <c r="BO13" s="305"/>
      <c r="BP13" s="305">
        <v>1531592</v>
      </c>
      <c r="BQ13" s="305">
        <v>562063</v>
      </c>
      <c r="BR13" s="305">
        <v>302990</v>
      </c>
      <c r="BS13" s="305">
        <v>16761938</v>
      </c>
      <c r="BT13" s="306"/>
      <c r="BU13" s="305">
        <v>3144506</v>
      </c>
      <c r="BV13" s="305">
        <v>1147597</v>
      </c>
      <c r="BW13" s="305">
        <v>643524</v>
      </c>
      <c r="BX13" s="305">
        <v>16761938</v>
      </c>
      <c r="BY13" s="306"/>
      <c r="BZ13" s="305">
        <f t="shared" si="1"/>
        <v>1528119</v>
      </c>
      <c r="CA13" s="305">
        <f t="shared" si="1"/>
        <v>604338</v>
      </c>
      <c r="CB13" s="305">
        <f t="shared" si="1"/>
        <v>351932</v>
      </c>
      <c r="CC13" s="305">
        <f>CH13</f>
        <v>16761938</v>
      </c>
      <c r="CD13" s="306"/>
      <c r="CE13" s="305">
        <v>1616387</v>
      </c>
      <c r="CF13" s="305">
        <v>543259</v>
      </c>
      <c r="CG13" s="305">
        <v>291592</v>
      </c>
      <c r="CH13" s="305">
        <v>16761938</v>
      </c>
      <c r="CI13" s="306"/>
      <c r="CJ13" s="305">
        <v>6450274</v>
      </c>
      <c r="CK13" s="305">
        <v>2372129</v>
      </c>
      <c r="CL13" s="305">
        <v>1371577</v>
      </c>
      <c r="CM13" s="305">
        <v>15974893</v>
      </c>
      <c r="CN13" s="306"/>
      <c r="CO13" s="305">
        <v>1657399</v>
      </c>
      <c r="CP13" s="305">
        <v>532836</v>
      </c>
      <c r="CQ13" s="305">
        <v>264854</v>
      </c>
      <c r="CR13" s="305">
        <v>15974893</v>
      </c>
      <c r="CS13" s="306"/>
      <c r="CT13" s="305">
        <v>4792875</v>
      </c>
      <c r="CU13" s="305">
        <v>1839293</v>
      </c>
      <c r="CV13" s="305">
        <v>1106723</v>
      </c>
      <c r="CW13" s="305">
        <v>15974893</v>
      </c>
      <c r="CX13" s="306"/>
      <c r="CY13" s="305">
        <v>1564518</v>
      </c>
      <c r="CZ13" s="305">
        <v>596633</v>
      </c>
      <c r="DA13" s="305">
        <v>348307</v>
      </c>
      <c r="DB13" s="305">
        <v>15974893</v>
      </c>
      <c r="DC13" s="306"/>
      <c r="DD13" s="305">
        <v>3228357</v>
      </c>
      <c r="DE13" s="305">
        <v>1242660</v>
      </c>
      <c r="DF13" s="305">
        <v>758416</v>
      </c>
      <c r="DG13" s="305">
        <v>15974893</v>
      </c>
      <c r="DH13" s="306"/>
      <c r="DI13" s="305">
        <v>1585385</v>
      </c>
      <c r="DJ13" s="305">
        <v>696000</v>
      </c>
      <c r="DK13" s="305">
        <v>453363</v>
      </c>
      <c r="DL13" s="305">
        <v>15974893</v>
      </c>
      <c r="DM13" s="306"/>
      <c r="DN13" s="305">
        <v>1642972</v>
      </c>
      <c r="DO13" s="305">
        <v>546660</v>
      </c>
      <c r="DP13" s="305">
        <v>305053</v>
      </c>
      <c r="DQ13" s="305">
        <v>15974893</v>
      </c>
      <c r="DR13" s="306"/>
      <c r="DS13" s="305">
        <v>6074646</v>
      </c>
      <c r="DT13" s="305">
        <v>2172288</v>
      </c>
      <c r="DU13" s="305">
        <v>1209344</v>
      </c>
      <c r="DV13" s="305">
        <v>15012125</v>
      </c>
      <c r="DW13" s="312"/>
      <c r="DX13" s="305">
        <v>1545835</v>
      </c>
      <c r="DY13" s="305">
        <v>394396</v>
      </c>
      <c r="DZ13" s="305">
        <v>138507</v>
      </c>
      <c r="EA13" s="305">
        <v>15012125</v>
      </c>
      <c r="EB13" s="312"/>
      <c r="EC13" s="305">
        <v>4528811</v>
      </c>
      <c r="ED13" s="305">
        <v>1777892</v>
      </c>
      <c r="EE13" s="305">
        <v>1070837</v>
      </c>
      <c r="EF13" s="305">
        <v>15012125</v>
      </c>
      <c r="EG13" s="306"/>
      <c r="EH13" s="305">
        <v>1479860</v>
      </c>
      <c r="EI13" s="305">
        <v>608152</v>
      </c>
      <c r="EJ13" s="305">
        <v>370825</v>
      </c>
      <c r="EK13" s="305">
        <v>15012125</v>
      </c>
      <c r="EL13" s="306"/>
      <c r="EM13" s="305">
        <v>3048951</v>
      </c>
      <c r="EN13" s="305">
        <v>1169688</v>
      </c>
      <c r="EO13" s="305">
        <v>700012</v>
      </c>
      <c r="EP13" s="305">
        <v>15012125</v>
      </c>
      <c r="EQ13" s="306"/>
      <c r="ER13" s="305">
        <v>1490614</v>
      </c>
      <c r="ES13" s="305">
        <v>612000</v>
      </c>
      <c r="ET13" s="305">
        <v>376007</v>
      </c>
      <c r="EU13" s="305">
        <v>15012125</v>
      </c>
      <c r="EV13" s="306"/>
      <c r="EW13" s="305">
        <v>1558337</v>
      </c>
      <c r="EX13" s="305">
        <v>557688</v>
      </c>
      <c r="EY13" s="305">
        <v>324005</v>
      </c>
      <c r="EZ13" s="305">
        <v>15012125</v>
      </c>
      <c r="FA13" s="306"/>
      <c r="FB13" s="329" t="s">
        <v>477</v>
      </c>
      <c r="FC13" s="330" t="s">
        <v>269</v>
      </c>
      <c r="FD13" s="309" t="s">
        <v>180</v>
      </c>
      <c r="FE13" s="309" t="s">
        <v>181</v>
      </c>
      <c r="FF13" s="309" t="s">
        <v>270</v>
      </c>
      <c r="FG13" s="306"/>
      <c r="FH13" s="330" t="s">
        <v>475</v>
      </c>
      <c r="FI13" s="309" t="s">
        <v>187</v>
      </c>
      <c r="FJ13" s="309" t="s">
        <v>192</v>
      </c>
      <c r="FK13" s="309" t="s">
        <v>281</v>
      </c>
      <c r="FL13" s="306"/>
      <c r="FM13" s="309" t="s">
        <v>283</v>
      </c>
      <c r="FN13" s="309" t="s">
        <v>190</v>
      </c>
      <c r="FO13" s="309" t="s">
        <v>191</v>
      </c>
      <c r="FP13" s="330" t="s">
        <v>286</v>
      </c>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row>
    <row r="14" spans="1:216">
      <c r="A14" s="533" t="s">
        <v>168</v>
      </c>
      <c r="B14" s="11"/>
      <c r="C14" s="71">
        <v>6481924</v>
      </c>
      <c r="D14" s="294">
        <v>354505</v>
      </c>
      <c r="E14" s="71">
        <v>336194</v>
      </c>
      <c r="F14" s="71">
        <v>3801630</v>
      </c>
      <c r="G14" s="11"/>
      <c r="H14" s="71">
        <v>3097600</v>
      </c>
      <c r="I14" s="294">
        <v>166457</v>
      </c>
      <c r="J14" s="71">
        <v>157497</v>
      </c>
      <c r="K14" s="71">
        <v>3801630</v>
      </c>
      <c r="L14" s="11"/>
      <c r="M14" s="71">
        <v>3384324</v>
      </c>
      <c r="N14" s="294">
        <v>188048</v>
      </c>
      <c r="O14" s="71">
        <v>178697</v>
      </c>
      <c r="P14" s="71">
        <v>3801630</v>
      </c>
      <c r="Q14" s="11"/>
      <c r="R14" s="291">
        <v>13567887</v>
      </c>
      <c r="S14" s="609">
        <v>841222</v>
      </c>
      <c r="T14" s="291">
        <v>832216</v>
      </c>
      <c r="U14" s="291">
        <v>3090248</v>
      </c>
      <c r="W14" s="604">
        <v>3760678</v>
      </c>
      <c r="X14" s="605">
        <v>150244</v>
      </c>
      <c r="Y14" s="604">
        <v>148297</v>
      </c>
      <c r="Z14" s="604">
        <v>3090248</v>
      </c>
      <c r="AB14" s="291">
        <v>9807209</v>
      </c>
      <c r="AC14" s="609">
        <v>690978</v>
      </c>
      <c r="AD14" s="291">
        <v>683919</v>
      </c>
      <c r="AE14" s="291">
        <v>3090248</v>
      </c>
      <c r="AG14" s="291">
        <v>3130213</v>
      </c>
      <c r="AH14" s="609">
        <v>145582</v>
      </c>
      <c r="AI14" s="291">
        <v>143502</v>
      </c>
      <c r="AJ14" s="291">
        <v>3090248</v>
      </c>
      <c r="AL14" s="305">
        <v>6676996</v>
      </c>
      <c r="AM14" s="334">
        <v>545396</v>
      </c>
      <c r="AN14" s="305">
        <v>540417</v>
      </c>
      <c r="AO14" s="305">
        <v>3090248</v>
      </c>
      <c r="AQ14" s="305">
        <v>163143</v>
      </c>
      <c r="AR14" s="334">
        <v>165425</v>
      </c>
      <c r="AS14" s="305">
        <v>163143</v>
      </c>
      <c r="AT14" s="305">
        <v>3090248</v>
      </c>
      <c r="AU14" s="11"/>
      <c r="AV14" s="305">
        <v>3617437</v>
      </c>
      <c r="AW14" s="334">
        <v>379971</v>
      </c>
      <c r="AX14" s="305">
        <v>377274</v>
      </c>
      <c r="AY14" s="305">
        <v>3090248</v>
      </c>
      <c r="AZ14" s="11"/>
      <c r="BA14" s="305">
        <v>14016190</v>
      </c>
      <c r="BB14" s="305">
        <v>490005</v>
      </c>
      <c r="BC14" s="305">
        <v>479374</v>
      </c>
      <c r="BD14" s="305">
        <v>2659458</v>
      </c>
      <c r="BE14" s="11"/>
      <c r="BF14" s="305">
        <v>3861362</v>
      </c>
      <c r="BG14" s="334">
        <v>89872</v>
      </c>
      <c r="BH14" s="305">
        <v>87549</v>
      </c>
      <c r="BI14" s="305">
        <v>2659458</v>
      </c>
      <c r="BJ14" s="306"/>
      <c r="BK14" s="305">
        <v>10154828</v>
      </c>
      <c r="BL14" s="305">
        <v>400133</v>
      </c>
      <c r="BM14" s="305">
        <v>391825</v>
      </c>
      <c r="BN14" s="305">
        <v>2659458</v>
      </c>
      <c r="BO14" s="305"/>
      <c r="BP14" s="305">
        <v>3269473</v>
      </c>
      <c r="BQ14" s="305">
        <v>110560</v>
      </c>
      <c r="BR14" s="305">
        <v>108166</v>
      </c>
      <c r="BS14" s="305">
        <v>2659458</v>
      </c>
      <c r="BT14" s="306"/>
      <c r="BU14" s="305">
        <v>6885355</v>
      </c>
      <c r="BV14" s="305">
        <v>289573</v>
      </c>
      <c r="BW14" s="305">
        <v>283659</v>
      </c>
      <c r="BX14" s="305">
        <v>2659458</v>
      </c>
      <c r="BY14" s="306"/>
      <c r="BZ14" s="305">
        <f t="shared" si="1"/>
        <v>3376697</v>
      </c>
      <c r="CA14" s="305">
        <f t="shared" si="1"/>
        <v>121613</v>
      </c>
      <c r="CB14" s="305">
        <f t="shared" si="1"/>
        <v>122240</v>
      </c>
      <c r="CC14" s="305">
        <f>CH14</f>
        <v>2659458</v>
      </c>
      <c r="CD14" s="306"/>
      <c r="CE14" s="305">
        <v>3508658</v>
      </c>
      <c r="CF14" s="305">
        <v>167960</v>
      </c>
      <c r="CG14" s="305">
        <v>161419</v>
      </c>
      <c r="CH14" s="305">
        <v>2659458</v>
      </c>
      <c r="CI14" s="306"/>
      <c r="CJ14" s="305">
        <v>15873355</v>
      </c>
      <c r="CK14" s="305">
        <v>380405</v>
      </c>
      <c r="CL14" s="305">
        <v>369529</v>
      </c>
      <c r="CM14" s="305">
        <v>2709132</v>
      </c>
      <c r="CN14" s="306"/>
      <c r="CO14" s="305">
        <v>4060202</v>
      </c>
      <c r="CP14" s="305">
        <v>-71530</v>
      </c>
      <c r="CQ14" s="305">
        <v>-74268</v>
      </c>
      <c r="CR14" s="305">
        <v>2709132</v>
      </c>
      <c r="CS14" s="306"/>
      <c r="CT14" s="305">
        <v>11813153</v>
      </c>
      <c r="CU14" s="305">
        <v>451935</v>
      </c>
      <c r="CV14" s="305">
        <v>443797</v>
      </c>
      <c r="CW14" s="305">
        <v>2706907</v>
      </c>
      <c r="CX14" s="306"/>
      <c r="CY14" s="305">
        <v>3719173</v>
      </c>
      <c r="CZ14" s="305">
        <v>116782</v>
      </c>
      <c r="DA14" s="305">
        <v>114042</v>
      </c>
      <c r="DB14" s="305">
        <v>2706907</v>
      </c>
      <c r="DC14" s="306"/>
      <c r="DD14" s="305">
        <v>8093980</v>
      </c>
      <c r="DE14" s="305">
        <v>335153</v>
      </c>
      <c r="DF14" s="305">
        <v>329755</v>
      </c>
      <c r="DG14" s="305">
        <v>2706907</v>
      </c>
      <c r="DH14" s="306"/>
      <c r="DI14" s="305">
        <v>3915698</v>
      </c>
      <c r="DJ14" s="305">
        <v>141382</v>
      </c>
      <c r="DK14" s="305">
        <v>138710</v>
      </c>
      <c r="DL14" s="305">
        <v>2706907</v>
      </c>
      <c r="DM14" s="306"/>
      <c r="DN14" s="305">
        <v>4178282</v>
      </c>
      <c r="DO14" s="305">
        <v>193771</v>
      </c>
      <c r="DP14" s="305">
        <v>191045</v>
      </c>
      <c r="DQ14" s="305">
        <v>2706907</v>
      </c>
      <c r="DR14" s="306"/>
      <c r="DS14" s="305">
        <v>15277451</v>
      </c>
      <c r="DT14" s="305">
        <v>608213</v>
      </c>
      <c r="DU14" s="305">
        <v>582307</v>
      </c>
      <c r="DV14" s="305">
        <v>3715551</v>
      </c>
      <c r="DW14" s="312"/>
      <c r="DX14" s="305">
        <v>4010459</v>
      </c>
      <c r="DY14" s="305">
        <v>106749</v>
      </c>
      <c r="DZ14" s="305">
        <v>103508</v>
      </c>
      <c r="EA14" s="305">
        <v>3715551</v>
      </c>
      <c r="EB14" s="312"/>
      <c r="EC14" s="305">
        <v>11266992</v>
      </c>
      <c r="ED14" s="305">
        <v>501464</v>
      </c>
      <c r="EE14" s="305">
        <v>478799</v>
      </c>
      <c r="EF14" s="305">
        <v>3715551</v>
      </c>
      <c r="EG14" s="306"/>
      <c r="EH14" s="305">
        <v>3691883</v>
      </c>
      <c r="EI14" s="305">
        <v>109830</v>
      </c>
      <c r="EJ14" s="305">
        <v>105291</v>
      </c>
      <c r="EK14" s="305">
        <v>3715551</v>
      </c>
      <c r="EL14" s="306"/>
      <c r="EM14" s="305">
        <v>7575109</v>
      </c>
      <c r="EN14" s="305">
        <v>391634</v>
      </c>
      <c r="EO14" s="305">
        <v>373508</v>
      </c>
      <c r="EP14" s="305">
        <v>3715551</v>
      </c>
      <c r="EQ14" s="306"/>
      <c r="ER14" s="305">
        <v>3479108</v>
      </c>
      <c r="ES14" s="305">
        <v>153290</v>
      </c>
      <c r="ET14" s="305">
        <v>144543</v>
      </c>
      <c r="EU14" s="305">
        <v>3715551</v>
      </c>
      <c r="EV14" s="306"/>
      <c r="EW14" s="305">
        <v>4096001</v>
      </c>
      <c r="EX14" s="305">
        <v>238344</v>
      </c>
      <c r="EY14" s="305">
        <v>228965</v>
      </c>
      <c r="EZ14" s="305">
        <v>3715551</v>
      </c>
      <c r="FA14" s="306"/>
      <c r="FB14" s="313" t="s">
        <v>170</v>
      </c>
      <c r="FC14" s="311">
        <v>1397506</v>
      </c>
      <c r="FD14" s="311">
        <v>165783</v>
      </c>
      <c r="FE14" s="311">
        <v>65786</v>
      </c>
      <c r="FF14" s="311">
        <v>1465831</v>
      </c>
      <c r="FG14" s="306"/>
      <c r="FH14" s="311">
        <v>1092570</v>
      </c>
      <c r="FI14" s="311">
        <v>168014</v>
      </c>
      <c r="FJ14" s="311">
        <v>88794</v>
      </c>
      <c r="FK14" s="311">
        <v>1465831</v>
      </c>
      <c r="FL14" s="306"/>
      <c r="FM14" s="311">
        <v>748322</v>
      </c>
      <c r="FN14" s="311">
        <v>137404</v>
      </c>
      <c r="FO14" s="311">
        <v>84452</v>
      </c>
      <c r="FP14" s="311">
        <v>1465831</v>
      </c>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row>
    <row r="15" spans="1:216">
      <c r="A15" s="535" t="s">
        <v>169</v>
      </c>
      <c r="B15" s="11"/>
      <c r="C15" s="72">
        <v>414606</v>
      </c>
      <c r="D15" s="295">
        <v>88712</v>
      </c>
      <c r="E15" s="72">
        <v>44272</v>
      </c>
      <c r="F15" s="72">
        <v>581497</v>
      </c>
      <c r="G15" s="11"/>
      <c r="H15" s="72">
        <v>219053</v>
      </c>
      <c r="I15" s="295">
        <v>49009</v>
      </c>
      <c r="J15" s="72">
        <v>25412</v>
      </c>
      <c r="K15" s="72">
        <v>581497</v>
      </c>
      <c r="L15" s="11"/>
      <c r="M15" s="72">
        <v>195553</v>
      </c>
      <c r="N15" s="295">
        <v>39703</v>
      </c>
      <c r="O15" s="72">
        <v>18860</v>
      </c>
      <c r="P15" s="72">
        <v>581497</v>
      </c>
      <c r="Q15" s="11"/>
      <c r="R15" s="610">
        <v>804560</v>
      </c>
      <c r="S15" s="611">
        <v>118043</v>
      </c>
      <c r="T15" s="610">
        <v>35902</v>
      </c>
      <c r="U15" s="610">
        <v>508825</v>
      </c>
      <c r="W15" s="606">
        <v>206198</v>
      </c>
      <c r="X15" s="607">
        <v>3431</v>
      </c>
      <c r="Y15" s="606">
        <v>-19915</v>
      </c>
      <c r="Z15" s="606">
        <v>508825</v>
      </c>
      <c r="AB15" s="610">
        <v>598362</v>
      </c>
      <c r="AC15" s="611">
        <v>114612</v>
      </c>
      <c r="AD15" s="610">
        <v>55817</v>
      </c>
      <c r="AE15" s="610">
        <v>508825</v>
      </c>
      <c r="AG15" s="610">
        <v>205774</v>
      </c>
      <c r="AH15" s="611">
        <v>37977</v>
      </c>
      <c r="AI15" s="610">
        <v>17870</v>
      </c>
      <c r="AJ15" s="610">
        <v>508825</v>
      </c>
      <c r="AL15" s="332">
        <v>392588</v>
      </c>
      <c r="AM15" s="335">
        <v>76635</v>
      </c>
      <c r="AN15" s="332">
        <v>37947</v>
      </c>
      <c r="AO15" s="332">
        <v>508825</v>
      </c>
      <c r="AQ15" s="332">
        <v>21212</v>
      </c>
      <c r="AR15" s="335">
        <v>40909</v>
      </c>
      <c r="AS15" s="332">
        <v>21212</v>
      </c>
      <c r="AT15" s="332">
        <v>508825</v>
      </c>
      <c r="AU15" s="11"/>
      <c r="AV15" s="332">
        <v>194781</v>
      </c>
      <c r="AW15" s="335">
        <v>35726</v>
      </c>
      <c r="AX15" s="332">
        <v>16735</v>
      </c>
      <c r="AY15" s="332">
        <v>508825</v>
      </c>
      <c r="AZ15" s="11"/>
      <c r="BA15" s="332">
        <v>827928</v>
      </c>
      <c r="BB15" s="332">
        <v>114570</v>
      </c>
      <c r="BC15" s="332">
        <v>42642</v>
      </c>
      <c r="BD15" s="332">
        <v>468202</v>
      </c>
      <c r="BE15" s="11"/>
      <c r="BF15" s="332">
        <v>211032</v>
      </c>
      <c r="BG15" s="335">
        <v>12302</v>
      </c>
      <c r="BH15" s="332">
        <v>-5504</v>
      </c>
      <c r="BI15" s="332">
        <v>468202</v>
      </c>
      <c r="BJ15" s="306"/>
      <c r="BK15" s="332">
        <v>616896</v>
      </c>
      <c r="BL15" s="332">
        <v>102268</v>
      </c>
      <c r="BM15" s="332">
        <v>48146</v>
      </c>
      <c r="BN15" s="332">
        <v>468202</v>
      </c>
      <c r="BO15" s="332"/>
      <c r="BP15" s="332">
        <v>188053</v>
      </c>
      <c r="BQ15" s="332">
        <v>36232</v>
      </c>
      <c r="BR15" s="332">
        <v>18324</v>
      </c>
      <c r="BS15" s="332">
        <v>468202</v>
      </c>
      <c r="BT15" s="306"/>
      <c r="BU15" s="332">
        <v>428843</v>
      </c>
      <c r="BV15" s="332">
        <v>66036</v>
      </c>
      <c r="BW15" s="332">
        <v>29822</v>
      </c>
      <c r="BX15" s="332">
        <v>468202</v>
      </c>
      <c r="BY15" s="306"/>
      <c r="BZ15" s="332">
        <f t="shared" si="1"/>
        <v>211401</v>
      </c>
      <c r="CA15" s="332">
        <f t="shared" si="1"/>
        <v>35550</v>
      </c>
      <c r="CB15" s="332">
        <f t="shared" si="1"/>
        <v>17383</v>
      </c>
      <c r="CC15" s="332">
        <f>CH15</f>
        <v>468202</v>
      </c>
      <c r="CD15" s="306"/>
      <c r="CE15" s="332">
        <v>217442</v>
      </c>
      <c r="CF15" s="332">
        <v>30486</v>
      </c>
      <c r="CG15" s="332">
        <v>12439</v>
      </c>
      <c r="CH15" s="332">
        <v>468202</v>
      </c>
      <c r="CI15" s="306"/>
      <c r="CJ15" s="332">
        <v>927953</v>
      </c>
      <c r="CK15" s="332">
        <v>100320</v>
      </c>
      <c r="CL15" s="332">
        <v>32596</v>
      </c>
      <c r="CM15" s="332">
        <v>478618</v>
      </c>
      <c r="CN15" s="306"/>
      <c r="CO15" s="332">
        <v>225159</v>
      </c>
      <c r="CP15" s="332">
        <v>2137</v>
      </c>
      <c r="CQ15" s="332">
        <v>-15376</v>
      </c>
      <c r="CR15" s="332">
        <v>478618</v>
      </c>
      <c r="CS15" s="306"/>
      <c r="CT15" s="332">
        <v>702794</v>
      </c>
      <c r="CU15" s="332">
        <v>98183</v>
      </c>
      <c r="CV15" s="332">
        <v>47972</v>
      </c>
      <c r="CW15" s="332">
        <v>478618</v>
      </c>
      <c r="CX15" s="306"/>
      <c r="CY15" s="332">
        <v>199648</v>
      </c>
      <c r="CZ15" s="332">
        <v>37188</v>
      </c>
      <c r="DA15" s="332">
        <v>20076</v>
      </c>
      <c r="DB15" s="332">
        <v>478618</v>
      </c>
      <c r="DC15" s="306"/>
      <c r="DD15" s="332">
        <v>503146</v>
      </c>
      <c r="DE15" s="332">
        <v>60995</v>
      </c>
      <c r="DF15" s="332">
        <v>27896</v>
      </c>
      <c r="DG15" s="332">
        <v>478618</v>
      </c>
      <c r="DH15" s="306"/>
      <c r="DI15" s="332">
        <v>239006</v>
      </c>
      <c r="DJ15" s="332">
        <v>17622</v>
      </c>
      <c r="DK15" s="332">
        <v>789</v>
      </c>
      <c r="DL15" s="332">
        <v>478618</v>
      </c>
      <c r="DM15" s="306"/>
      <c r="DN15" s="332">
        <v>264140</v>
      </c>
      <c r="DO15" s="332">
        <v>43373</v>
      </c>
      <c r="DP15" s="332">
        <v>27107</v>
      </c>
      <c r="DQ15" s="332">
        <v>478618</v>
      </c>
      <c r="DR15" s="306"/>
      <c r="DS15" s="332">
        <v>870035</v>
      </c>
      <c r="DT15" s="332">
        <v>106215</v>
      </c>
      <c r="DU15" s="332">
        <v>56593</v>
      </c>
      <c r="DV15" s="332">
        <v>459596</v>
      </c>
      <c r="DW15" s="312"/>
      <c r="DX15" s="332">
        <v>210812.29391999985</v>
      </c>
      <c r="DY15" s="332">
        <v>-3324</v>
      </c>
      <c r="DZ15" s="332">
        <v>-17508</v>
      </c>
      <c r="EA15" s="332">
        <v>459596</v>
      </c>
      <c r="EB15" s="312"/>
      <c r="EC15" s="332">
        <v>659222.70608000015</v>
      </c>
      <c r="ED15" s="332">
        <v>109539</v>
      </c>
      <c r="EE15" s="332">
        <v>74101</v>
      </c>
      <c r="EF15" s="332">
        <v>459596</v>
      </c>
      <c r="EG15" s="306"/>
      <c r="EH15" s="332">
        <v>233888.70608000015</v>
      </c>
      <c r="EI15" s="332">
        <v>42296</v>
      </c>
      <c r="EJ15" s="332">
        <v>28734</v>
      </c>
      <c r="EK15" s="332">
        <v>459596</v>
      </c>
      <c r="EL15" s="306"/>
      <c r="EM15" s="332">
        <v>425334.29366000002</v>
      </c>
      <c r="EN15" s="332">
        <v>67238</v>
      </c>
      <c r="EO15" s="332">
        <v>45367</v>
      </c>
      <c r="EP15" s="332">
        <v>459596</v>
      </c>
      <c r="EQ15" s="306"/>
      <c r="ER15" s="332">
        <v>195771.29366000002</v>
      </c>
      <c r="ES15" s="332">
        <v>22700</v>
      </c>
      <c r="ET15" s="332">
        <v>11051</v>
      </c>
      <c r="EU15" s="332">
        <v>459596</v>
      </c>
      <c r="EV15" s="306"/>
      <c r="EW15" s="332">
        <v>229563</v>
      </c>
      <c r="EX15" s="332">
        <v>44538</v>
      </c>
      <c r="EY15" s="332">
        <v>34316</v>
      </c>
      <c r="EZ15" s="332">
        <v>459596</v>
      </c>
      <c r="FA15" s="306"/>
      <c r="FB15" s="312" t="s">
        <v>171</v>
      </c>
      <c r="FC15" s="305">
        <v>4574265</v>
      </c>
      <c r="FD15" s="305">
        <v>28852</v>
      </c>
      <c r="FE15" s="305">
        <v>-458954</v>
      </c>
      <c r="FF15" s="331">
        <v>8646833</v>
      </c>
      <c r="FG15" s="306"/>
      <c r="FH15" s="305">
        <v>3339570</v>
      </c>
      <c r="FI15" s="305">
        <v>117195</v>
      </c>
      <c r="FJ15" s="305">
        <v>-254167</v>
      </c>
      <c r="FK15" s="331">
        <v>8646833</v>
      </c>
      <c r="FL15" s="306"/>
      <c r="FM15" s="305">
        <v>2270136</v>
      </c>
      <c r="FN15" s="305">
        <v>28139</v>
      </c>
      <c r="FO15" s="305">
        <v>-230592</v>
      </c>
      <c r="FP15" s="331">
        <v>8646833</v>
      </c>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row>
    <row r="16" spans="1:216">
      <c r="B16" s="11"/>
      <c r="G16" s="11"/>
      <c r="L16" s="11"/>
      <c r="Q16" s="11"/>
      <c r="AU16" s="11"/>
      <c r="AZ16" s="11"/>
      <c r="BA16" s="306"/>
      <c r="BB16" s="306"/>
      <c r="BC16" s="306"/>
      <c r="BD16" s="306"/>
      <c r="BE16" s="11"/>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27"/>
      <c r="DX16" s="306"/>
      <c r="DY16" s="306"/>
      <c r="DZ16" s="306"/>
      <c r="EA16" s="306"/>
      <c r="EB16" s="327"/>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12" t="s">
        <v>172</v>
      </c>
      <c r="FC16" s="305">
        <v>204495</v>
      </c>
      <c r="FD16" s="305">
        <v>135563</v>
      </c>
      <c r="FE16" s="305">
        <v>92978</v>
      </c>
      <c r="FF16" s="331">
        <v>1944940</v>
      </c>
      <c r="FG16" s="306"/>
      <c r="FH16" s="305">
        <v>128900</v>
      </c>
      <c r="FI16" s="305">
        <v>83842</v>
      </c>
      <c r="FJ16" s="305">
        <v>56875</v>
      </c>
      <c r="FK16" s="331">
        <v>1944940</v>
      </c>
      <c r="FL16" s="306"/>
      <c r="FM16" s="305">
        <v>92455</v>
      </c>
      <c r="FN16" s="305">
        <v>62060</v>
      </c>
      <c r="FO16" s="305">
        <v>43969</v>
      </c>
      <c r="FP16" s="331">
        <v>1944940</v>
      </c>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row>
    <row r="17" spans="2:216">
      <c r="B17" s="11"/>
      <c r="G17" s="11"/>
      <c r="L17" s="11"/>
      <c r="Q17" s="11"/>
      <c r="AU17" s="11"/>
      <c r="AZ17" s="11"/>
      <c r="BA17" s="306"/>
      <c r="BB17" s="306"/>
      <c r="BC17" s="306"/>
      <c r="BD17" s="306"/>
      <c r="BE17" s="11"/>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12" t="s">
        <v>173</v>
      </c>
      <c r="FC17" s="305">
        <v>1337722</v>
      </c>
      <c r="FD17" s="305">
        <v>235453</v>
      </c>
      <c r="FE17" s="305">
        <v>110909</v>
      </c>
      <c r="FF17" s="305">
        <v>2169616</v>
      </c>
      <c r="FG17" s="306"/>
      <c r="FH17" s="305">
        <v>925675</v>
      </c>
      <c r="FI17" s="305">
        <v>164893</v>
      </c>
      <c r="FJ17" s="305">
        <v>76101</v>
      </c>
      <c r="FK17" s="305">
        <v>2169616</v>
      </c>
      <c r="FL17" s="306"/>
      <c r="FM17" s="305">
        <v>716398</v>
      </c>
      <c r="FN17" s="305">
        <v>132718</v>
      </c>
      <c r="FO17" s="305">
        <v>74944</v>
      </c>
      <c r="FP17" s="305">
        <v>2169616</v>
      </c>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row>
    <row r="18" spans="2:216">
      <c r="B18" s="11"/>
      <c r="G18" s="11"/>
      <c r="L18" s="11"/>
      <c r="Q18" s="11"/>
      <c r="AU18" s="11"/>
      <c r="AZ18" s="11"/>
      <c r="BA18" s="306"/>
      <c r="BB18" s="306"/>
      <c r="BC18" s="306"/>
      <c r="BD18" s="306"/>
      <c r="BE18" s="11"/>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12" t="s">
        <v>174</v>
      </c>
      <c r="FC18" s="305">
        <v>5997470</v>
      </c>
      <c r="FD18" s="305">
        <v>2208381</v>
      </c>
      <c r="FE18" s="305">
        <v>1295639</v>
      </c>
      <c r="FF18" s="331">
        <v>14002290</v>
      </c>
      <c r="FG18" s="306"/>
      <c r="FH18" s="305">
        <v>4451191</v>
      </c>
      <c r="FI18" s="305">
        <v>1700695</v>
      </c>
      <c r="FJ18" s="305">
        <v>1024329</v>
      </c>
      <c r="FK18" s="331">
        <v>14002290</v>
      </c>
      <c r="FL18" s="306"/>
      <c r="FM18" s="305">
        <v>3010804</v>
      </c>
      <c r="FN18" s="305">
        <v>1104102</v>
      </c>
      <c r="FO18" s="305">
        <v>656155</v>
      </c>
      <c r="FP18" s="331">
        <v>14002290</v>
      </c>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row>
    <row r="19" spans="2:216">
      <c r="B19" s="11"/>
      <c r="G19" s="11"/>
      <c r="L19" s="11"/>
      <c r="Q19" s="11"/>
      <c r="AU19" s="11"/>
      <c r="AZ19" s="11"/>
      <c r="BA19" s="306"/>
      <c r="BB19" s="306"/>
      <c r="BC19" s="306"/>
      <c r="BD19" s="306"/>
      <c r="BE19" s="11"/>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c r="CD19" s="306"/>
      <c r="CE19" s="306"/>
      <c r="CF19" s="306"/>
      <c r="CG19" s="306"/>
      <c r="CH19" s="306"/>
      <c r="CI19" s="306"/>
      <c r="CJ19" s="306"/>
      <c r="CK19" s="306"/>
      <c r="CL19" s="306"/>
      <c r="CM19" s="306"/>
      <c r="CN19" s="306"/>
      <c r="CO19" s="306"/>
      <c r="CP19" s="306"/>
      <c r="CQ19" s="306"/>
      <c r="CR19" s="306"/>
      <c r="CS19" s="306"/>
      <c r="CT19" s="306"/>
      <c r="CU19" s="306"/>
      <c r="CV19" s="306"/>
      <c r="CW19" s="306"/>
      <c r="CX19" s="306"/>
      <c r="CY19" s="306"/>
      <c r="CZ19" s="306"/>
      <c r="DA19" s="306"/>
      <c r="DB19" s="306"/>
      <c r="DC19" s="306"/>
      <c r="DD19" s="306"/>
      <c r="DE19" s="306"/>
      <c r="DF19" s="306"/>
      <c r="DG19" s="306"/>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12" t="s">
        <v>175</v>
      </c>
      <c r="FC19" s="305">
        <v>18017593</v>
      </c>
      <c r="FD19" s="305">
        <v>899208</v>
      </c>
      <c r="FE19" s="305">
        <v>864579</v>
      </c>
      <c r="FF19" s="331">
        <v>3111539</v>
      </c>
      <c r="FG19" s="306"/>
      <c r="FH19" s="305">
        <v>13301459</v>
      </c>
      <c r="FI19" s="305">
        <v>747154</v>
      </c>
      <c r="FJ19" s="305">
        <v>721007</v>
      </c>
      <c r="FK19" s="331">
        <v>3111539</v>
      </c>
      <c r="FL19" s="306"/>
      <c r="FM19" s="305">
        <v>8993554</v>
      </c>
      <c r="FN19" s="305">
        <v>595731</v>
      </c>
      <c r="FO19" s="305">
        <v>578520</v>
      </c>
      <c r="FP19" s="331">
        <v>3111539</v>
      </c>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row>
    <row r="20" spans="2:216">
      <c r="B20" s="11"/>
      <c r="G20" s="11"/>
      <c r="L20" s="11"/>
      <c r="Q20" s="11"/>
      <c r="AU20" s="11"/>
      <c r="AZ20" s="11"/>
      <c r="BA20" s="306"/>
      <c r="BB20" s="306"/>
      <c r="BC20" s="306"/>
      <c r="BD20" s="306"/>
      <c r="BE20" s="11"/>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12" t="s">
        <v>176</v>
      </c>
      <c r="FC20" s="305">
        <v>492583</v>
      </c>
      <c r="FD20" s="305">
        <v>45283</v>
      </c>
      <c r="FE20" s="305">
        <v>26837</v>
      </c>
      <c r="FF20" s="305">
        <v>183519</v>
      </c>
      <c r="FG20" s="306"/>
      <c r="FH20" s="305">
        <v>374979</v>
      </c>
      <c r="FI20" s="305">
        <v>71552</v>
      </c>
      <c r="FJ20" s="305">
        <v>59678</v>
      </c>
      <c r="FK20" s="305">
        <v>183519</v>
      </c>
      <c r="FL20" s="306"/>
      <c r="FM20" s="305">
        <v>235207</v>
      </c>
      <c r="FN20" s="305">
        <v>33659</v>
      </c>
      <c r="FO20" s="305">
        <v>26904</v>
      </c>
      <c r="FP20" s="305">
        <v>183519</v>
      </c>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row>
    <row r="21" spans="2:216">
      <c r="B21" s="11"/>
      <c r="G21" s="11"/>
      <c r="L21" s="11"/>
      <c r="Q21" s="11"/>
      <c r="AU21" s="11"/>
      <c r="AZ21" s="11"/>
      <c r="BA21" s="306"/>
      <c r="BB21" s="306"/>
      <c r="BC21" s="306"/>
      <c r="BD21" s="306"/>
      <c r="BE21" s="11"/>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06"/>
      <c r="CZ21" s="306"/>
      <c r="DA21" s="306"/>
      <c r="DB21" s="306"/>
      <c r="DC21" s="306"/>
      <c r="DD21" s="306"/>
      <c r="DE21" s="306"/>
      <c r="DF21" s="306"/>
      <c r="DG21" s="306"/>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22" t="s">
        <v>169</v>
      </c>
      <c r="FC21" s="319">
        <v>310212</v>
      </c>
      <c r="FD21" s="319">
        <v>17485</v>
      </c>
      <c r="FE21" s="319">
        <v>10816</v>
      </c>
      <c r="FF21" s="319">
        <v>170774</v>
      </c>
      <c r="FG21" s="306"/>
      <c r="FH21" s="319">
        <v>233119</v>
      </c>
      <c r="FI21" s="319">
        <v>14099</v>
      </c>
      <c r="FJ21" s="319">
        <v>7486</v>
      </c>
      <c r="FK21" s="319">
        <v>170774</v>
      </c>
      <c r="FL21" s="306"/>
      <c r="FM21" s="319">
        <v>165982</v>
      </c>
      <c r="FN21" s="319">
        <v>6191</v>
      </c>
      <c r="FO21" s="319">
        <v>1763</v>
      </c>
      <c r="FP21" s="319">
        <v>170774</v>
      </c>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row>
    <row r="22" spans="2:216">
      <c r="B22" s="11"/>
      <c r="G22" s="11"/>
      <c r="L22" s="11"/>
      <c r="Q22" s="11"/>
      <c r="AU22" s="11"/>
      <c r="AZ22" s="11"/>
      <c r="BA22" s="306"/>
      <c r="BB22" s="306"/>
      <c r="BC22" s="306"/>
      <c r="BD22" s="306"/>
      <c r="BE22" s="11"/>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6"/>
      <c r="DD22" s="306"/>
      <c r="DE22" s="306"/>
      <c r="DF22" s="306"/>
      <c r="DG22" s="306"/>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row>
    <row r="23" spans="2:216">
      <c r="B23" s="11"/>
      <c r="G23" s="11"/>
      <c r="L23" s="11"/>
      <c r="Q23" s="11"/>
      <c r="AU23" s="11"/>
      <c r="AZ23" s="11"/>
      <c r="BA23" s="306"/>
      <c r="BB23" s="306"/>
      <c r="BC23" s="306"/>
      <c r="BD23" s="306"/>
      <c r="BE23" s="11"/>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row>
    <row r="24" spans="2:216">
      <c r="B24" s="11"/>
      <c r="G24" s="11"/>
      <c r="L24" s="11"/>
      <c r="Q24" s="11"/>
      <c r="AU24" s="11"/>
      <c r="AZ24" s="11"/>
      <c r="BA24" s="306"/>
      <c r="BB24" s="306"/>
      <c r="BC24" s="306"/>
      <c r="BD24" s="306"/>
      <c r="BE24" s="11"/>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row>
    <row r="25" spans="2:216" ht="51">
      <c r="B25" s="11"/>
      <c r="G25" s="11"/>
      <c r="L25" s="11"/>
      <c r="Q25" s="11"/>
      <c r="AU25" s="11"/>
      <c r="AZ25" s="11"/>
      <c r="BA25" s="306"/>
      <c r="BB25" s="306"/>
      <c r="BC25" s="306"/>
      <c r="BD25" s="306"/>
      <c r="BE25" s="11"/>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29" t="s">
        <v>477</v>
      </c>
      <c r="FC25" s="309" t="s">
        <v>271</v>
      </c>
      <c r="FD25" s="309" t="s">
        <v>182</v>
      </c>
      <c r="FE25" s="309" t="s">
        <v>183</v>
      </c>
      <c r="FF25" s="309" t="s">
        <v>268</v>
      </c>
      <c r="FG25" s="306"/>
      <c r="FH25" s="309" t="s">
        <v>276</v>
      </c>
      <c r="FI25" s="309" t="s">
        <v>277</v>
      </c>
      <c r="FJ25" s="309" t="s">
        <v>278</v>
      </c>
      <c r="FK25" s="309" t="s">
        <v>280</v>
      </c>
      <c r="FL25" s="306"/>
      <c r="FM25" s="309" t="s">
        <v>282</v>
      </c>
      <c r="FN25" s="309" t="s">
        <v>188</v>
      </c>
      <c r="FO25" s="309" t="s">
        <v>189</v>
      </c>
      <c r="FP25" s="309" t="s">
        <v>285</v>
      </c>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row>
    <row r="26" spans="2:216">
      <c r="B26" s="11"/>
      <c r="G26" s="11"/>
      <c r="L26" s="11"/>
      <c r="Q26" s="11"/>
      <c r="AU26" s="11"/>
      <c r="AZ26" s="11"/>
      <c r="BA26" s="306"/>
      <c r="BB26" s="306"/>
      <c r="BC26" s="306"/>
      <c r="BD26" s="306"/>
      <c r="BE26" s="11"/>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13" t="s">
        <v>170</v>
      </c>
      <c r="FC26" s="311">
        <v>323181</v>
      </c>
      <c r="FD26" s="311">
        <v>14932</v>
      </c>
      <c r="FE26" s="311">
        <v>-12176</v>
      </c>
      <c r="FF26" s="311">
        <v>1742510</v>
      </c>
      <c r="FG26" s="306"/>
      <c r="FH26" s="311">
        <v>341431</v>
      </c>
      <c r="FI26" s="311">
        <v>55306</v>
      </c>
      <c r="FJ26" s="311">
        <v>29132</v>
      </c>
      <c r="FK26" s="311">
        <v>1666780</v>
      </c>
      <c r="FL26" s="306"/>
      <c r="FM26" s="311">
        <v>281247</v>
      </c>
      <c r="FN26" s="311">
        <v>8471</v>
      </c>
      <c r="FO26" s="311">
        <v>-16826</v>
      </c>
      <c r="FP26" s="311">
        <v>1640587</v>
      </c>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row>
    <row r="27" spans="2:216">
      <c r="B27" s="11"/>
      <c r="G27" s="11"/>
      <c r="L27" s="11"/>
      <c r="Q27" s="11"/>
      <c r="AU27" s="11"/>
      <c r="AZ27" s="11"/>
      <c r="BA27" s="306"/>
      <c r="BB27" s="306"/>
      <c r="BC27" s="306"/>
      <c r="BD27" s="306"/>
      <c r="BE27" s="11"/>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12" t="s">
        <v>171</v>
      </c>
      <c r="FC27" s="305">
        <v>913384</v>
      </c>
      <c r="FD27" s="305">
        <v>51694</v>
      </c>
      <c r="FE27" s="305">
        <v>-34993</v>
      </c>
      <c r="FF27" s="331">
        <v>8393127</v>
      </c>
      <c r="FG27" s="306"/>
      <c r="FH27" s="305">
        <v>832114</v>
      </c>
      <c r="FI27" s="305">
        <v>73153</v>
      </c>
      <c r="FJ27" s="305">
        <v>-43546</v>
      </c>
      <c r="FK27" s="331">
        <v>7636136</v>
      </c>
      <c r="FL27" s="306"/>
      <c r="FM27" s="305">
        <v>716925</v>
      </c>
      <c r="FN27" s="305">
        <v>59507</v>
      </c>
      <c r="FO27" s="305">
        <v>-58572</v>
      </c>
      <c r="FP27" s="331">
        <v>7741435</v>
      </c>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row>
    <row r="28" spans="2:216">
      <c r="B28" s="11"/>
      <c r="G28" s="11"/>
      <c r="L28" s="11"/>
      <c r="Q28" s="11"/>
      <c r="AU28" s="11"/>
      <c r="AZ28" s="11"/>
      <c r="BA28" s="306"/>
      <c r="BB28" s="306"/>
      <c r="BC28" s="306"/>
      <c r="BD28" s="306"/>
      <c r="BE28" s="11"/>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12" t="s">
        <v>172</v>
      </c>
      <c r="FC28" s="305">
        <v>65019</v>
      </c>
      <c r="FD28" s="305">
        <v>37748</v>
      </c>
      <c r="FE28" s="305">
        <v>20234</v>
      </c>
      <c r="FF28" s="331">
        <v>1985920</v>
      </c>
      <c r="FG28" s="306"/>
      <c r="FH28" s="305">
        <v>71079</v>
      </c>
      <c r="FI28" s="305">
        <v>45702</v>
      </c>
      <c r="FJ28" s="305">
        <v>25694</v>
      </c>
      <c r="FK28" s="331">
        <v>1929270</v>
      </c>
      <c r="FL28" s="306"/>
      <c r="FM28" s="305">
        <v>64784</v>
      </c>
      <c r="FN28" s="305">
        <v>40730</v>
      </c>
      <c r="FO28" s="305">
        <v>20707</v>
      </c>
      <c r="FP28" s="331">
        <v>1929486</v>
      </c>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row>
    <row r="29" spans="2:216">
      <c r="B29" s="11"/>
      <c r="G29" s="11"/>
      <c r="L29" s="11"/>
      <c r="Q29" s="11"/>
      <c r="AU29" s="11"/>
      <c r="AZ29" s="11"/>
      <c r="BA29" s="306"/>
      <c r="BB29" s="306"/>
      <c r="BC29" s="306"/>
      <c r="BD29" s="306"/>
      <c r="BE29" s="11"/>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12" t="s">
        <v>173</v>
      </c>
      <c r="FC29" s="305">
        <v>388456</v>
      </c>
      <c r="FD29" s="305">
        <v>126605</v>
      </c>
      <c r="FE29" s="305">
        <v>87607</v>
      </c>
      <c r="FF29" s="305">
        <v>2781001</v>
      </c>
      <c r="FG29" s="306"/>
      <c r="FH29" s="305">
        <v>249121</v>
      </c>
      <c r="FI29" s="305">
        <v>16576</v>
      </c>
      <c r="FJ29" s="305">
        <v>-21324</v>
      </c>
      <c r="FK29" s="305">
        <v>3101958</v>
      </c>
      <c r="FL29" s="306"/>
      <c r="FM29" s="305">
        <v>291077</v>
      </c>
      <c r="FN29" s="305">
        <v>36257</v>
      </c>
      <c r="FO29" s="305">
        <v>-325</v>
      </c>
      <c r="FP29" s="305">
        <v>2962505</v>
      </c>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row>
    <row r="30" spans="2:216">
      <c r="B30" s="11"/>
      <c r="G30" s="11"/>
      <c r="L30" s="11"/>
      <c r="Q30" s="11"/>
      <c r="AU30" s="11"/>
      <c r="AZ30" s="11"/>
      <c r="BA30" s="306"/>
      <c r="BB30" s="306"/>
      <c r="BC30" s="306"/>
      <c r="BD30" s="306"/>
      <c r="BE30" s="11"/>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12" t="s">
        <v>174</v>
      </c>
      <c r="FC30" s="305">
        <v>1545835</v>
      </c>
      <c r="FD30" s="305">
        <v>379296</v>
      </c>
      <c r="FE30" s="305">
        <v>138507</v>
      </c>
      <c r="FF30" s="331">
        <v>15012125</v>
      </c>
      <c r="FG30" s="306"/>
      <c r="FH30" s="305">
        <v>1479860</v>
      </c>
      <c r="FI30" s="305">
        <v>608152</v>
      </c>
      <c r="FJ30" s="305">
        <v>370825</v>
      </c>
      <c r="FK30" s="331">
        <v>14581007</v>
      </c>
      <c r="FL30" s="306"/>
      <c r="FM30" s="305">
        <v>1490614</v>
      </c>
      <c r="FN30" s="305">
        <v>612000</v>
      </c>
      <c r="FO30" s="305">
        <v>376007</v>
      </c>
      <c r="FP30" s="331">
        <v>14377042</v>
      </c>
      <c r="FQ30" s="306"/>
      <c r="FR30" s="306"/>
      <c r="FS30" s="306"/>
      <c r="FT30" s="306"/>
      <c r="FU30" s="306"/>
      <c r="FV30" s="306"/>
      <c r="FW30" s="306"/>
      <c r="FX30" s="306"/>
      <c r="FY30" s="306"/>
      <c r="FZ30" s="306"/>
      <c r="GA30" s="306"/>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row>
    <row r="31" spans="2:216">
      <c r="B31" s="11"/>
      <c r="G31" s="11"/>
      <c r="L31" s="11"/>
      <c r="Q31" s="11"/>
      <c r="AU31" s="11"/>
      <c r="AZ31" s="11"/>
      <c r="BA31" s="306"/>
      <c r="BB31" s="306"/>
      <c r="BC31" s="306"/>
      <c r="BD31" s="306"/>
      <c r="BE31" s="11"/>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12" t="s">
        <v>175</v>
      </c>
      <c r="FC31" s="305">
        <v>4010459</v>
      </c>
      <c r="FD31" s="305">
        <v>106749</v>
      </c>
      <c r="FE31" s="305">
        <v>103508</v>
      </c>
      <c r="FF31" s="331">
        <v>3715551</v>
      </c>
      <c r="FG31" s="306"/>
      <c r="FH31" s="305">
        <v>3691883</v>
      </c>
      <c r="FI31" s="305">
        <v>109830</v>
      </c>
      <c r="FJ31" s="305">
        <v>105291</v>
      </c>
      <c r="FK31" s="331">
        <v>2413083</v>
      </c>
      <c r="FL31" s="306"/>
      <c r="FM31" s="305">
        <v>3479108</v>
      </c>
      <c r="FN31" s="305">
        <v>153290</v>
      </c>
      <c r="FO31" s="305">
        <v>144543</v>
      </c>
      <c r="FP31" s="331">
        <v>2040729</v>
      </c>
      <c r="FQ31" s="306"/>
      <c r="FR31" s="306"/>
      <c r="FS31" s="306"/>
      <c r="FT31" s="306"/>
      <c r="FU31" s="306"/>
      <c r="FV31" s="306"/>
      <c r="FW31" s="306"/>
      <c r="FX31" s="306"/>
      <c r="FY31" s="306"/>
      <c r="FZ31" s="306"/>
      <c r="GA31" s="306"/>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row>
    <row r="32" spans="2:216">
      <c r="B32" s="11"/>
      <c r="G32" s="11"/>
      <c r="L32" s="11"/>
      <c r="Q32" s="11"/>
      <c r="AU32" s="11"/>
      <c r="AZ32" s="11"/>
      <c r="BA32" s="306"/>
      <c r="BB32" s="306"/>
      <c r="BC32" s="306"/>
      <c r="BD32" s="306"/>
      <c r="BE32" s="11"/>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c r="CQ32" s="306"/>
      <c r="CR32" s="306"/>
      <c r="CS32" s="306"/>
      <c r="CT32" s="306"/>
      <c r="CU32" s="306"/>
      <c r="CV32" s="306"/>
      <c r="CW32" s="306"/>
      <c r="CX32" s="306"/>
      <c r="CY32" s="306"/>
      <c r="CZ32" s="306"/>
      <c r="DA32" s="306"/>
      <c r="DB32" s="306"/>
      <c r="DC32" s="306"/>
      <c r="DD32" s="306"/>
      <c r="DE32" s="306"/>
      <c r="DF32" s="306"/>
      <c r="DG32" s="306"/>
      <c r="DH32" s="306"/>
      <c r="DI32" s="306"/>
      <c r="DJ32" s="306"/>
      <c r="DK32" s="306"/>
      <c r="DL32" s="306"/>
      <c r="DM32" s="306"/>
      <c r="DN32" s="306"/>
      <c r="DO32" s="306"/>
      <c r="DP32" s="306"/>
      <c r="DQ32" s="306"/>
      <c r="DR32" s="306"/>
      <c r="DS32" s="306"/>
      <c r="DT32" s="306"/>
      <c r="DU32" s="306"/>
      <c r="DV32" s="306"/>
      <c r="DW32" s="306"/>
      <c r="DX32" s="306"/>
      <c r="DY32" s="306"/>
      <c r="DZ32" s="306"/>
      <c r="EA32" s="306"/>
      <c r="EB32" s="306"/>
      <c r="EC32" s="306"/>
      <c r="ED32" s="306"/>
      <c r="EE32" s="306"/>
      <c r="EF32" s="306"/>
      <c r="EG32" s="306"/>
      <c r="EH32" s="306"/>
      <c r="EI32" s="306"/>
      <c r="EJ32" s="306"/>
      <c r="EK32" s="306"/>
      <c r="EL32" s="306"/>
      <c r="EM32" s="306"/>
      <c r="EN32" s="306"/>
      <c r="EO32" s="306"/>
      <c r="EP32" s="306"/>
      <c r="EQ32" s="306"/>
      <c r="ER32" s="306"/>
      <c r="ES32" s="306"/>
      <c r="ET32" s="306"/>
      <c r="EU32" s="306"/>
      <c r="EV32" s="306"/>
      <c r="EW32" s="306"/>
      <c r="EX32" s="306"/>
      <c r="EY32" s="306"/>
      <c r="EZ32" s="306"/>
      <c r="FA32" s="306"/>
      <c r="FB32" s="312" t="s">
        <v>176</v>
      </c>
      <c r="FC32" s="305">
        <v>153870</v>
      </c>
      <c r="FD32" s="305">
        <v>-2388</v>
      </c>
      <c r="FE32" s="305">
        <v>-15091</v>
      </c>
      <c r="FF32" s="305">
        <v>267663</v>
      </c>
      <c r="FG32" s="306"/>
      <c r="FH32" s="305">
        <v>155387</v>
      </c>
      <c r="FI32" s="305">
        <v>31201</v>
      </c>
      <c r="FJ32" s="305">
        <v>19345</v>
      </c>
      <c r="FK32" s="305">
        <v>230454</v>
      </c>
      <c r="FL32" s="306"/>
      <c r="FM32" s="305">
        <v>138236</v>
      </c>
      <c r="FN32" s="305">
        <v>15822</v>
      </c>
      <c r="FO32" s="305">
        <v>5885</v>
      </c>
      <c r="FP32" s="305">
        <v>222294</v>
      </c>
      <c r="FQ32" s="306"/>
      <c r="FR32" s="306"/>
      <c r="FS32" s="306"/>
      <c r="FT32" s="306"/>
      <c r="FU32" s="306"/>
      <c r="FV32" s="306"/>
      <c r="FW32" s="306"/>
      <c r="FX32" s="306"/>
      <c r="FY32" s="306"/>
      <c r="FZ32" s="306"/>
      <c r="GA32" s="306"/>
      <c r="GB32" s="306"/>
      <c r="GC32" s="306"/>
      <c r="GD32" s="306"/>
      <c r="GE32" s="306"/>
      <c r="GF32" s="306"/>
      <c r="GG32" s="306"/>
      <c r="GH32" s="306"/>
      <c r="GI32" s="306"/>
      <c r="GJ32" s="306"/>
      <c r="GK32" s="306"/>
      <c r="GL32" s="306"/>
      <c r="GM32" s="306"/>
      <c r="GN32" s="306"/>
      <c r="GO32" s="306"/>
      <c r="GP32" s="306"/>
      <c r="GQ32" s="306"/>
      <c r="GR32" s="306"/>
      <c r="GS32" s="306"/>
      <c r="GT32" s="306"/>
      <c r="GU32" s="306"/>
      <c r="GV32" s="306"/>
      <c r="GW32" s="306"/>
      <c r="GX32" s="306"/>
      <c r="GY32" s="306"/>
      <c r="GZ32" s="306"/>
      <c r="HA32" s="306"/>
      <c r="HB32" s="306"/>
      <c r="HC32" s="306"/>
      <c r="HD32" s="306"/>
      <c r="HE32" s="306"/>
      <c r="HF32" s="306"/>
      <c r="HG32" s="306"/>
      <c r="HH32" s="306"/>
    </row>
    <row r="33" spans="2:216">
      <c r="B33" s="11"/>
      <c r="G33" s="11"/>
      <c r="L33" s="11"/>
      <c r="Q33" s="11"/>
      <c r="AU33" s="11"/>
      <c r="AZ33" s="11"/>
      <c r="BA33" s="306"/>
      <c r="BB33" s="306"/>
      <c r="BC33" s="306"/>
      <c r="BD33" s="306"/>
      <c r="BE33" s="11"/>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c r="CQ33" s="306"/>
      <c r="CR33" s="306"/>
      <c r="CS33" s="306"/>
      <c r="CT33" s="306"/>
      <c r="CU33" s="306"/>
      <c r="CV33" s="306"/>
      <c r="CW33" s="306"/>
      <c r="CX33" s="306"/>
      <c r="CY33" s="306"/>
      <c r="CZ33" s="306"/>
      <c r="DA33" s="306"/>
      <c r="DB33" s="306"/>
      <c r="DC33" s="306"/>
      <c r="DD33" s="306"/>
      <c r="DE33" s="306"/>
      <c r="DF33" s="306"/>
      <c r="DG33" s="306"/>
      <c r="DH33" s="306"/>
      <c r="DI33" s="306"/>
      <c r="DJ33" s="306"/>
      <c r="DK33" s="306"/>
      <c r="DL33" s="306"/>
      <c r="DM33" s="306"/>
      <c r="DN33" s="306"/>
      <c r="DO33" s="306"/>
      <c r="DP33" s="306"/>
      <c r="DQ33" s="306"/>
      <c r="DR33" s="306"/>
      <c r="DS33" s="306"/>
      <c r="DT33" s="306"/>
      <c r="DU33" s="306"/>
      <c r="DV33" s="306"/>
      <c r="DW33" s="306"/>
      <c r="DX33" s="306"/>
      <c r="DY33" s="306"/>
      <c r="DZ33" s="306"/>
      <c r="EA33" s="306"/>
      <c r="EB33" s="306"/>
      <c r="EC33" s="306"/>
      <c r="ED33" s="306"/>
      <c r="EE33" s="306"/>
      <c r="EF33" s="306"/>
      <c r="EG33" s="306"/>
      <c r="EH33" s="306"/>
      <c r="EI33" s="306"/>
      <c r="EJ33" s="306"/>
      <c r="EK33" s="306"/>
      <c r="EL33" s="306"/>
      <c r="EM33" s="306"/>
      <c r="EN33" s="306"/>
      <c r="EO33" s="306"/>
      <c r="EP33" s="306"/>
      <c r="EQ33" s="306"/>
      <c r="ER33" s="306"/>
      <c r="ES33" s="306"/>
      <c r="ET33" s="306"/>
      <c r="EU33" s="306"/>
      <c r="EV33" s="306"/>
      <c r="EW33" s="306"/>
      <c r="EX33" s="306"/>
      <c r="EY33" s="306"/>
      <c r="EZ33" s="306"/>
      <c r="FA33" s="306"/>
      <c r="FB33" s="322" t="s">
        <v>169</v>
      </c>
      <c r="FC33" s="319">
        <v>57229</v>
      </c>
      <c r="FD33" s="319">
        <v>-838</v>
      </c>
      <c r="FE33" s="319">
        <v>-2417</v>
      </c>
      <c r="FF33" s="319">
        <v>191933</v>
      </c>
      <c r="FG33" s="306"/>
      <c r="FH33" s="319">
        <v>78754</v>
      </c>
      <c r="FI33" s="319">
        <v>11110</v>
      </c>
      <c r="FJ33" s="319">
        <v>9389</v>
      </c>
      <c r="FK33" s="319">
        <v>160564</v>
      </c>
      <c r="FL33" s="306"/>
      <c r="FM33" s="319">
        <v>57784</v>
      </c>
      <c r="FN33" s="319">
        <v>6878</v>
      </c>
      <c r="FO33" s="319">
        <v>5166</v>
      </c>
      <c r="FP33" s="319">
        <v>182892</v>
      </c>
      <c r="FQ33" s="306"/>
      <c r="FR33" s="306"/>
      <c r="FS33" s="306"/>
      <c r="FT33" s="306"/>
      <c r="FU33" s="306"/>
      <c r="FV33" s="306"/>
      <c r="FW33" s="306"/>
      <c r="FX33" s="306"/>
      <c r="FY33" s="306"/>
      <c r="FZ33" s="306"/>
      <c r="GA33" s="306"/>
      <c r="GB33" s="306"/>
      <c r="GC33" s="306"/>
      <c r="GD33" s="306"/>
      <c r="GE33" s="306"/>
      <c r="GF33" s="306"/>
      <c r="GG33" s="306"/>
      <c r="GH33" s="306"/>
      <c r="GI33" s="306"/>
      <c r="GJ33" s="306"/>
      <c r="GK33" s="306"/>
      <c r="GL33" s="306"/>
      <c r="GM33" s="306"/>
      <c r="GN33" s="306"/>
      <c r="GO33" s="306"/>
      <c r="GP33" s="306"/>
      <c r="GQ33" s="306"/>
      <c r="GR33" s="306"/>
      <c r="GS33" s="306"/>
      <c r="GT33" s="306"/>
      <c r="GU33" s="306"/>
      <c r="GV33" s="306"/>
      <c r="GW33" s="306"/>
      <c r="GX33" s="306"/>
      <c r="GY33" s="306"/>
      <c r="GZ33" s="306"/>
      <c r="HA33" s="306"/>
      <c r="HB33" s="306"/>
      <c r="HC33" s="306"/>
      <c r="HD33" s="306"/>
      <c r="HE33" s="306"/>
      <c r="HF33" s="306"/>
      <c r="HG33" s="306"/>
      <c r="HH33" s="306"/>
    </row>
    <row r="34" spans="2:216">
      <c r="B34" s="11"/>
      <c r="G34" s="11"/>
      <c r="L34" s="11"/>
      <c r="Q34" s="11"/>
      <c r="AU34" s="11"/>
      <c r="AZ34" s="11"/>
      <c r="BA34" s="306"/>
      <c r="BB34" s="306"/>
      <c r="BC34" s="306"/>
      <c r="BD34" s="306"/>
      <c r="BE34" s="11"/>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c r="CT34" s="306"/>
      <c r="CU34" s="306"/>
      <c r="CV34" s="306"/>
      <c r="CW34" s="306"/>
      <c r="CX34" s="306"/>
      <c r="CY34" s="306"/>
      <c r="CZ34" s="306"/>
      <c r="DA34" s="306"/>
      <c r="DB34" s="306"/>
      <c r="DC34" s="306"/>
      <c r="DD34" s="306"/>
      <c r="DE34" s="306"/>
      <c r="DF34" s="306"/>
      <c r="DG34" s="306"/>
      <c r="DH34" s="306"/>
      <c r="DI34" s="306"/>
      <c r="DJ34" s="306"/>
      <c r="DK34" s="306"/>
      <c r="DL34" s="306"/>
      <c r="DM34" s="306"/>
      <c r="DN34" s="306"/>
      <c r="DO34" s="306"/>
      <c r="DP34" s="306"/>
      <c r="DQ34" s="306"/>
      <c r="DR34" s="306"/>
      <c r="DS34" s="306"/>
      <c r="DT34" s="306"/>
      <c r="DU34" s="306"/>
      <c r="DV34" s="306"/>
      <c r="DW34" s="306"/>
      <c r="DX34" s="306"/>
      <c r="DY34" s="306"/>
      <c r="DZ34" s="306"/>
      <c r="EA34" s="306"/>
      <c r="EB34" s="306"/>
      <c r="EC34" s="306"/>
      <c r="ED34" s="306"/>
      <c r="EE34" s="306"/>
      <c r="EF34" s="306"/>
      <c r="EG34" s="306"/>
      <c r="EH34" s="306"/>
      <c r="EI34" s="306"/>
      <c r="EJ34" s="306"/>
      <c r="EK34" s="306"/>
      <c r="EL34" s="306"/>
      <c r="EM34" s="306"/>
      <c r="EN34" s="306"/>
      <c r="EO34" s="306"/>
      <c r="EP34" s="306"/>
      <c r="EQ34" s="306"/>
      <c r="ER34" s="306"/>
      <c r="ES34" s="306"/>
      <c r="ET34" s="306"/>
      <c r="EU34" s="306"/>
      <c r="EV34" s="306"/>
      <c r="EW34" s="306"/>
      <c r="EX34" s="306"/>
      <c r="EY34" s="306"/>
      <c r="EZ34" s="306"/>
      <c r="FA34" s="306"/>
      <c r="FB34" s="306"/>
      <c r="FC34" s="306"/>
      <c r="FD34" s="306"/>
      <c r="FE34" s="306"/>
      <c r="FF34" s="306"/>
      <c r="FG34" s="306"/>
      <c r="FH34" s="306"/>
      <c r="FI34" s="306"/>
      <c r="FJ34" s="306"/>
      <c r="FK34" s="306"/>
      <c r="FL34" s="306"/>
      <c r="FM34" s="306"/>
      <c r="FN34" s="306"/>
      <c r="FO34" s="306"/>
      <c r="FP34" s="306"/>
      <c r="FQ34" s="306"/>
      <c r="FR34" s="306"/>
      <c r="FS34" s="306"/>
      <c r="FT34" s="306"/>
      <c r="FU34" s="306"/>
      <c r="FV34" s="306"/>
      <c r="FW34" s="306"/>
      <c r="FX34" s="306"/>
      <c r="FY34" s="306"/>
      <c r="FZ34" s="306"/>
      <c r="GA34" s="306"/>
      <c r="GB34" s="306"/>
      <c r="GC34" s="306"/>
      <c r="GD34" s="306"/>
      <c r="GE34" s="306"/>
      <c r="GF34" s="306"/>
      <c r="GG34" s="306"/>
      <c r="GH34" s="306"/>
      <c r="GI34" s="306"/>
      <c r="GJ34" s="306"/>
      <c r="GK34" s="306"/>
      <c r="GL34" s="306"/>
      <c r="GM34" s="306"/>
      <c r="GN34" s="306"/>
      <c r="GO34" s="306"/>
      <c r="GP34" s="306"/>
      <c r="GQ34" s="306"/>
      <c r="GR34" s="306"/>
      <c r="GS34" s="306"/>
      <c r="GT34" s="306"/>
      <c r="GU34" s="306"/>
      <c r="GV34" s="306"/>
      <c r="GW34" s="306"/>
      <c r="GX34" s="306"/>
      <c r="GY34" s="306"/>
      <c r="GZ34" s="306"/>
      <c r="HA34" s="306"/>
      <c r="HB34" s="306"/>
      <c r="HC34" s="306"/>
      <c r="HD34" s="306"/>
      <c r="HE34" s="306"/>
      <c r="HF34" s="306"/>
      <c r="HG34" s="306"/>
      <c r="HH34" s="306"/>
    </row>
    <row r="35" spans="2:216">
      <c r="B35" s="11"/>
      <c r="G35" s="11"/>
      <c r="L35" s="11"/>
      <c r="Q35" s="11"/>
      <c r="AU35" s="11"/>
      <c r="AZ35" s="11"/>
      <c r="BA35" s="306"/>
      <c r="BB35" s="306"/>
      <c r="BC35" s="306"/>
      <c r="BD35" s="306"/>
      <c r="BE35" s="11"/>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6"/>
      <c r="DO35" s="306"/>
      <c r="DP35" s="306"/>
      <c r="DQ35" s="306"/>
      <c r="DR35" s="306"/>
      <c r="DS35" s="306"/>
      <c r="DT35" s="306"/>
      <c r="DU35" s="306"/>
      <c r="DV35" s="306"/>
      <c r="DW35" s="306"/>
      <c r="DX35" s="306"/>
      <c r="DY35" s="306"/>
      <c r="DZ35" s="306"/>
      <c r="EA35" s="306"/>
      <c r="EB35" s="306"/>
      <c r="EC35" s="306"/>
      <c r="ED35" s="306"/>
      <c r="EE35" s="306"/>
      <c r="EF35" s="306"/>
      <c r="EG35" s="306"/>
      <c r="EH35" s="306"/>
      <c r="EI35" s="306"/>
      <c r="EJ35" s="306"/>
      <c r="EK35" s="306"/>
      <c r="EL35" s="306"/>
      <c r="EM35" s="306"/>
      <c r="EN35" s="306"/>
      <c r="EO35" s="306"/>
      <c r="EP35" s="306"/>
      <c r="EQ35" s="306"/>
      <c r="ER35" s="306"/>
      <c r="ES35" s="306"/>
      <c r="ET35" s="306"/>
      <c r="EU35" s="306"/>
      <c r="EV35" s="306"/>
      <c r="EW35" s="306"/>
      <c r="EX35" s="306"/>
      <c r="EY35" s="306"/>
      <c r="EZ35" s="306"/>
      <c r="FA35" s="306"/>
      <c r="FB35" s="306"/>
      <c r="FC35" s="306"/>
      <c r="FD35" s="306"/>
      <c r="FE35" s="306"/>
      <c r="FF35" s="306"/>
      <c r="FG35" s="306"/>
      <c r="FH35" s="306"/>
      <c r="FI35" s="306"/>
      <c r="FJ35" s="306"/>
      <c r="FK35" s="306"/>
      <c r="FL35" s="306"/>
      <c r="FM35" s="306"/>
      <c r="FN35" s="306"/>
      <c r="FO35" s="306"/>
      <c r="FP35" s="306"/>
      <c r="FQ35" s="306"/>
      <c r="FR35" s="306"/>
      <c r="FS35" s="306"/>
      <c r="FT35" s="306"/>
      <c r="FU35" s="306"/>
      <c r="FV35" s="306"/>
      <c r="FW35" s="306"/>
      <c r="FX35" s="306"/>
      <c r="FY35" s="306"/>
      <c r="FZ35" s="306"/>
      <c r="GA35" s="306"/>
      <c r="GB35" s="306"/>
      <c r="GC35" s="306"/>
      <c r="GD35" s="306"/>
      <c r="GE35" s="306"/>
      <c r="GF35" s="306"/>
      <c r="GG35" s="306"/>
      <c r="GH35" s="306"/>
      <c r="GI35" s="306"/>
      <c r="GJ35" s="306"/>
      <c r="GK35" s="306"/>
      <c r="GL35" s="306"/>
      <c r="GM35" s="306"/>
      <c r="GN35" s="306"/>
      <c r="GO35" s="306"/>
      <c r="GP35" s="306"/>
      <c r="GQ35" s="306"/>
      <c r="GR35" s="306"/>
      <c r="GS35" s="306"/>
      <c r="GT35" s="306"/>
      <c r="GU35" s="306"/>
      <c r="GV35" s="306"/>
      <c r="GW35" s="306"/>
      <c r="GX35" s="306"/>
      <c r="GY35" s="306"/>
      <c r="GZ35" s="306"/>
      <c r="HA35" s="306"/>
      <c r="HB35" s="306"/>
      <c r="HC35" s="306"/>
      <c r="HD35" s="306"/>
      <c r="HE35" s="306"/>
      <c r="HF35" s="306"/>
      <c r="HG35" s="306"/>
      <c r="HH35" s="306"/>
    </row>
    <row r="36" spans="2:216">
      <c r="B36" s="11"/>
      <c r="G36" s="11"/>
      <c r="L36" s="11"/>
      <c r="Q36" s="11"/>
      <c r="AU36" s="11"/>
      <c r="AZ36" s="11"/>
      <c r="BA36" s="306"/>
      <c r="BB36" s="306"/>
      <c r="BC36" s="306"/>
      <c r="BD36" s="306"/>
      <c r="BE36" s="11"/>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6"/>
      <c r="DO36" s="306"/>
      <c r="DP36" s="306"/>
      <c r="DQ36" s="306"/>
      <c r="DR36" s="306"/>
      <c r="DS36" s="306"/>
      <c r="DT36" s="306"/>
      <c r="DU36" s="306"/>
      <c r="DV36" s="306"/>
      <c r="DW36" s="306"/>
      <c r="DX36" s="306"/>
      <c r="DY36" s="306"/>
      <c r="DZ36" s="306"/>
      <c r="EA36" s="306"/>
      <c r="EB36" s="306"/>
      <c r="EC36" s="306"/>
      <c r="ED36" s="306"/>
      <c r="EE36" s="306"/>
      <c r="EF36" s="306"/>
      <c r="EG36" s="306"/>
      <c r="EH36" s="306"/>
      <c r="EI36" s="306"/>
      <c r="EJ36" s="306"/>
      <c r="EK36" s="306"/>
      <c r="EL36" s="306"/>
      <c r="EM36" s="306"/>
      <c r="EN36" s="306"/>
      <c r="EO36" s="306"/>
      <c r="EP36" s="306"/>
      <c r="EQ36" s="306"/>
      <c r="ER36" s="306"/>
      <c r="ES36" s="306"/>
      <c r="ET36" s="306"/>
      <c r="EU36" s="306"/>
      <c r="EV36" s="306"/>
      <c r="EW36" s="306"/>
      <c r="EX36" s="306"/>
      <c r="EY36" s="306"/>
      <c r="EZ36" s="306"/>
      <c r="FA36" s="306"/>
      <c r="FB36" s="306"/>
      <c r="FC36" s="306"/>
      <c r="FD36" s="306"/>
      <c r="FE36" s="306"/>
      <c r="FF36" s="306"/>
      <c r="FG36" s="306"/>
      <c r="FH36" s="306"/>
      <c r="FI36" s="306"/>
      <c r="FJ36" s="306"/>
      <c r="FK36" s="306"/>
      <c r="FL36" s="306"/>
      <c r="FM36" s="306"/>
      <c r="FN36" s="306"/>
      <c r="FO36" s="306"/>
      <c r="FP36" s="306"/>
      <c r="FQ36" s="306"/>
      <c r="FR36" s="306"/>
      <c r="FS36" s="306"/>
      <c r="FT36" s="306"/>
      <c r="FU36" s="306"/>
      <c r="FV36" s="306"/>
      <c r="FW36" s="306"/>
      <c r="FX36" s="306"/>
      <c r="FY36" s="306"/>
      <c r="FZ36" s="306"/>
      <c r="GA36" s="306"/>
      <c r="GB36" s="306"/>
      <c r="GC36" s="306"/>
      <c r="GD36" s="306"/>
      <c r="GE36" s="306"/>
      <c r="GF36" s="306"/>
      <c r="GG36" s="306"/>
      <c r="GH36" s="306"/>
      <c r="GI36" s="306"/>
      <c r="GJ36" s="306"/>
      <c r="GK36" s="306"/>
      <c r="GL36" s="306"/>
      <c r="GM36" s="306"/>
      <c r="GN36" s="306"/>
      <c r="GO36" s="306"/>
      <c r="GP36" s="306"/>
      <c r="GQ36" s="306"/>
      <c r="GR36" s="306"/>
      <c r="GS36" s="306"/>
      <c r="GT36" s="306"/>
      <c r="GU36" s="306"/>
      <c r="GV36" s="306"/>
      <c r="GW36" s="306"/>
      <c r="GX36" s="306"/>
      <c r="GY36" s="306"/>
      <c r="GZ36" s="306"/>
      <c r="HA36" s="306"/>
      <c r="HB36" s="306"/>
      <c r="HC36" s="306"/>
      <c r="HD36" s="306"/>
      <c r="HE36" s="306"/>
      <c r="HF36" s="306"/>
      <c r="HG36" s="306"/>
      <c r="HH36" s="306"/>
    </row>
    <row r="37" spans="2:216" ht="51">
      <c r="B37" s="11"/>
      <c r="G37" s="11"/>
      <c r="L37" s="11"/>
      <c r="Q37" s="11"/>
      <c r="AU37" s="11"/>
      <c r="AZ37" s="11"/>
      <c r="BA37" s="306"/>
      <c r="BB37" s="306"/>
      <c r="BC37" s="306"/>
      <c r="BD37" s="306"/>
      <c r="BE37" s="11"/>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6"/>
      <c r="DO37" s="306"/>
      <c r="DP37" s="306"/>
      <c r="DQ37" s="306"/>
      <c r="DR37" s="306"/>
      <c r="DS37" s="306"/>
      <c r="DT37" s="306"/>
      <c r="DU37" s="306"/>
      <c r="DV37" s="306"/>
      <c r="DW37" s="306"/>
      <c r="DX37" s="306"/>
      <c r="DY37" s="306"/>
      <c r="DZ37" s="306"/>
      <c r="EA37" s="306"/>
      <c r="EB37" s="306"/>
      <c r="EC37" s="306"/>
      <c r="ED37" s="306"/>
      <c r="EE37" s="306"/>
      <c r="EF37" s="306"/>
      <c r="EG37" s="306"/>
      <c r="EH37" s="306"/>
      <c r="EI37" s="306"/>
      <c r="EJ37" s="306"/>
      <c r="EK37" s="306"/>
      <c r="EL37" s="306"/>
      <c r="EM37" s="306"/>
      <c r="EN37" s="306"/>
      <c r="EO37" s="306"/>
      <c r="EP37" s="306"/>
      <c r="EQ37" s="306"/>
      <c r="ER37" s="306"/>
      <c r="ES37" s="306"/>
      <c r="ET37" s="306"/>
      <c r="EU37" s="306"/>
      <c r="EV37" s="306"/>
      <c r="EW37" s="306"/>
      <c r="EX37" s="306"/>
      <c r="EY37" s="306"/>
      <c r="EZ37" s="306"/>
      <c r="FA37" s="306"/>
      <c r="FB37" s="329" t="s">
        <v>477</v>
      </c>
      <c r="FC37" s="309" t="s">
        <v>272</v>
      </c>
      <c r="FD37" s="309" t="s">
        <v>184</v>
      </c>
      <c r="FE37" s="309" t="s">
        <v>287</v>
      </c>
      <c r="FF37" s="309" t="s">
        <v>273</v>
      </c>
      <c r="FG37" s="306"/>
      <c r="FH37" s="309" t="s">
        <v>274</v>
      </c>
      <c r="FI37" s="309" t="s">
        <v>275</v>
      </c>
      <c r="FJ37" s="309" t="s">
        <v>279</v>
      </c>
      <c r="FK37" s="309" t="s">
        <v>281</v>
      </c>
      <c r="FL37" s="306"/>
      <c r="FM37" s="309" t="s">
        <v>197</v>
      </c>
      <c r="FN37" s="309" t="s">
        <v>195</v>
      </c>
      <c r="FO37" s="309" t="s">
        <v>196</v>
      </c>
      <c r="FP37" s="309" t="s">
        <v>286</v>
      </c>
      <c r="FQ37" s="306"/>
      <c r="FR37" s="306"/>
      <c r="FS37" s="306"/>
      <c r="FT37" s="306"/>
      <c r="FU37" s="306"/>
      <c r="FV37" s="306"/>
      <c r="FW37" s="306"/>
      <c r="FX37" s="306"/>
      <c r="FY37" s="306"/>
      <c r="FZ37" s="306"/>
      <c r="GA37" s="306"/>
      <c r="GB37" s="306"/>
      <c r="GC37" s="306"/>
      <c r="GD37" s="306"/>
      <c r="GE37" s="306"/>
      <c r="GF37" s="306"/>
      <c r="GG37" s="306"/>
      <c r="GH37" s="306"/>
      <c r="GI37" s="306"/>
      <c r="GJ37" s="306"/>
      <c r="GK37" s="306"/>
      <c r="GL37" s="306"/>
      <c r="GM37" s="306"/>
      <c r="GN37" s="306"/>
      <c r="GO37" s="306"/>
      <c r="GP37" s="306"/>
      <c r="GQ37" s="306"/>
      <c r="GR37" s="306"/>
      <c r="GS37" s="306"/>
      <c r="GT37" s="306"/>
      <c r="GU37" s="306"/>
      <c r="GV37" s="306"/>
      <c r="GW37" s="306"/>
      <c r="GX37" s="306"/>
      <c r="GY37" s="306"/>
      <c r="GZ37" s="306"/>
      <c r="HA37" s="306"/>
      <c r="HB37" s="306"/>
      <c r="HC37" s="306"/>
      <c r="HD37" s="306"/>
      <c r="HE37" s="306"/>
      <c r="HF37" s="306"/>
      <c r="HG37" s="306"/>
      <c r="HH37" s="306"/>
    </row>
    <row r="38" spans="2:216">
      <c r="B38" s="11"/>
      <c r="G38" s="11"/>
      <c r="L38" s="11"/>
      <c r="Q38" s="11"/>
      <c r="AU38" s="11"/>
      <c r="AZ38" s="11"/>
      <c r="BA38" s="306"/>
      <c r="BB38" s="306"/>
      <c r="BC38" s="306"/>
      <c r="BD38" s="306"/>
      <c r="BE38" s="11"/>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6"/>
      <c r="DO38" s="306"/>
      <c r="DP38" s="306"/>
      <c r="DQ38" s="306"/>
      <c r="DR38" s="306"/>
      <c r="DS38" s="306"/>
      <c r="DT38" s="306"/>
      <c r="DU38" s="306"/>
      <c r="DV38" s="306"/>
      <c r="DW38" s="306"/>
      <c r="DX38" s="306"/>
      <c r="DY38" s="306"/>
      <c r="DZ38" s="306"/>
      <c r="EA38" s="306"/>
      <c r="EB38" s="306"/>
      <c r="EC38" s="306"/>
      <c r="ED38" s="306"/>
      <c r="EE38" s="306"/>
      <c r="EF38" s="306"/>
      <c r="EG38" s="306"/>
      <c r="EH38" s="306"/>
      <c r="EI38" s="306"/>
      <c r="EJ38" s="306"/>
      <c r="EK38" s="306"/>
      <c r="EL38" s="306"/>
      <c r="EM38" s="306"/>
      <c r="EN38" s="306"/>
      <c r="EO38" s="306"/>
      <c r="EP38" s="306"/>
      <c r="EQ38" s="306"/>
      <c r="ER38" s="306"/>
      <c r="ES38" s="306"/>
      <c r="ET38" s="306"/>
      <c r="EU38" s="306"/>
      <c r="EV38" s="306"/>
      <c r="EW38" s="306"/>
      <c r="EX38" s="306"/>
      <c r="EY38" s="306"/>
      <c r="EZ38" s="306"/>
      <c r="FA38" s="306"/>
      <c r="FB38" s="313" t="s">
        <v>170</v>
      </c>
      <c r="FC38" s="311">
        <v>304936</v>
      </c>
      <c r="FD38" s="311">
        <v>-2231</v>
      </c>
      <c r="FE38" s="311">
        <v>-23008</v>
      </c>
      <c r="FF38" s="311">
        <v>1465831</v>
      </c>
      <c r="FG38" s="306"/>
      <c r="FH38" s="311">
        <v>344248</v>
      </c>
      <c r="FI38" s="311">
        <v>30610</v>
      </c>
      <c r="FJ38" s="311">
        <v>4342</v>
      </c>
      <c r="FK38" s="311">
        <v>1465831</v>
      </c>
      <c r="FL38" s="306"/>
      <c r="FM38" s="311">
        <v>375593</v>
      </c>
      <c r="FN38" s="311">
        <v>64483</v>
      </c>
      <c r="FO38" s="311">
        <v>38486</v>
      </c>
      <c r="FP38" s="311">
        <v>1465831</v>
      </c>
      <c r="FQ38" s="306"/>
      <c r="FR38" s="306"/>
      <c r="FS38" s="306"/>
      <c r="FT38" s="306"/>
      <c r="FU38" s="306"/>
      <c r="FV38" s="306"/>
      <c r="FW38" s="306"/>
      <c r="FX38" s="306"/>
      <c r="FY38" s="306"/>
      <c r="FZ38" s="306"/>
      <c r="GA38" s="306"/>
      <c r="GB38" s="306"/>
      <c r="GC38" s="306"/>
      <c r="GD38" s="306"/>
      <c r="GE38" s="306"/>
      <c r="GF38" s="306"/>
      <c r="GG38" s="306"/>
      <c r="GH38" s="306"/>
      <c r="GI38" s="306"/>
      <c r="GJ38" s="306"/>
      <c r="GK38" s="306"/>
      <c r="GL38" s="306"/>
      <c r="GM38" s="306"/>
      <c r="GN38" s="306"/>
      <c r="GO38" s="306"/>
      <c r="GP38" s="306"/>
      <c r="GQ38" s="306"/>
      <c r="GR38" s="306"/>
      <c r="GS38" s="306"/>
      <c r="GT38" s="306"/>
      <c r="GU38" s="306"/>
      <c r="GV38" s="306"/>
      <c r="GW38" s="306"/>
      <c r="GX38" s="306"/>
      <c r="GY38" s="306"/>
      <c r="GZ38" s="306"/>
      <c r="HA38" s="306"/>
      <c r="HB38" s="306"/>
      <c r="HC38" s="306"/>
      <c r="HD38" s="306"/>
      <c r="HE38" s="306"/>
      <c r="HF38" s="306"/>
      <c r="HG38" s="306"/>
      <c r="HH38" s="306"/>
    </row>
    <row r="39" spans="2:216">
      <c r="B39" s="11"/>
      <c r="G39" s="11"/>
      <c r="L39" s="11"/>
      <c r="Q39" s="11"/>
      <c r="AU39" s="11"/>
      <c r="AZ39" s="11"/>
      <c r="BA39" s="306"/>
      <c r="BB39" s="306"/>
      <c r="BC39" s="306"/>
      <c r="BD39" s="306"/>
      <c r="BE39" s="11"/>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c r="CQ39" s="306"/>
      <c r="CR39" s="306"/>
      <c r="CS39" s="306"/>
      <c r="CT39" s="306"/>
      <c r="CU39" s="306"/>
      <c r="CV39" s="306"/>
      <c r="CW39" s="306"/>
      <c r="CX39" s="306"/>
      <c r="CY39" s="306"/>
      <c r="CZ39" s="306"/>
      <c r="DA39" s="306"/>
      <c r="DB39" s="306"/>
      <c r="DC39" s="306"/>
      <c r="DD39" s="306"/>
      <c r="DE39" s="306"/>
      <c r="DF39" s="306"/>
      <c r="DG39" s="306"/>
      <c r="DH39" s="306"/>
      <c r="DI39" s="306"/>
      <c r="DJ39" s="306"/>
      <c r="DK39" s="306"/>
      <c r="DL39" s="306"/>
      <c r="DM39" s="306"/>
      <c r="DN39" s="306"/>
      <c r="DO39" s="306"/>
      <c r="DP39" s="306"/>
      <c r="DQ39" s="306"/>
      <c r="DR39" s="306"/>
      <c r="DS39" s="306"/>
      <c r="DT39" s="306"/>
      <c r="DU39" s="306"/>
      <c r="DV39" s="306"/>
      <c r="DW39" s="306"/>
      <c r="DX39" s="306"/>
      <c r="DY39" s="306"/>
      <c r="DZ39" s="306"/>
      <c r="EA39" s="306"/>
      <c r="EB39" s="306"/>
      <c r="EC39" s="306"/>
      <c r="ED39" s="306"/>
      <c r="EE39" s="306"/>
      <c r="EF39" s="306"/>
      <c r="EG39" s="306"/>
      <c r="EH39" s="306"/>
      <c r="EI39" s="306"/>
      <c r="EJ39" s="306"/>
      <c r="EK39" s="306"/>
      <c r="EL39" s="306"/>
      <c r="EM39" s="306"/>
      <c r="EN39" s="306"/>
      <c r="EO39" s="306"/>
      <c r="EP39" s="306"/>
      <c r="EQ39" s="306"/>
      <c r="ER39" s="306"/>
      <c r="ES39" s="306"/>
      <c r="ET39" s="306"/>
      <c r="EU39" s="306"/>
      <c r="EV39" s="306"/>
      <c r="EW39" s="306"/>
      <c r="EX39" s="306"/>
      <c r="EY39" s="306"/>
      <c r="EZ39" s="306"/>
      <c r="FA39" s="306"/>
      <c r="FB39" s="312" t="s">
        <v>171</v>
      </c>
      <c r="FC39" s="305">
        <v>1234695</v>
      </c>
      <c r="FD39" s="305">
        <v>-88343</v>
      </c>
      <c r="FE39" s="305">
        <v>-204787</v>
      </c>
      <c r="FF39" s="331">
        <v>8646833</v>
      </c>
      <c r="FG39" s="306"/>
      <c r="FH39" s="305">
        <v>1069434</v>
      </c>
      <c r="FI39" s="305">
        <v>89056</v>
      </c>
      <c r="FJ39" s="305">
        <v>-23575</v>
      </c>
      <c r="FK39" s="331">
        <v>8646833</v>
      </c>
      <c r="FL39" s="306"/>
      <c r="FM39" s="305">
        <v>1063065</v>
      </c>
      <c r="FN39" s="305">
        <v>-129465</v>
      </c>
      <c r="FO39" s="305">
        <v>-258674</v>
      </c>
      <c r="FP39" s="331">
        <v>8646833</v>
      </c>
      <c r="FQ39" s="306"/>
      <c r="FR39" s="306"/>
      <c r="FS39" s="306"/>
      <c r="FT39" s="306"/>
      <c r="FU39" s="306"/>
      <c r="FV39" s="306"/>
      <c r="FW39" s="306"/>
      <c r="FX39" s="306"/>
      <c r="FY39" s="306"/>
      <c r="FZ39" s="306"/>
      <c r="GA39" s="306"/>
      <c r="GB39" s="306"/>
      <c r="GC39" s="306"/>
      <c r="GD39" s="306"/>
      <c r="GE39" s="306"/>
      <c r="GF39" s="306"/>
      <c r="GG39" s="306"/>
      <c r="GH39" s="306"/>
      <c r="GI39" s="306"/>
      <c r="GJ39" s="306"/>
      <c r="GK39" s="306"/>
      <c r="GL39" s="306"/>
      <c r="GM39" s="306"/>
      <c r="GN39" s="306"/>
      <c r="GO39" s="306"/>
      <c r="GP39" s="306"/>
      <c r="GQ39" s="306"/>
      <c r="GR39" s="306"/>
      <c r="GS39" s="306"/>
      <c r="GT39" s="306"/>
      <c r="GU39" s="306"/>
      <c r="GV39" s="306"/>
      <c r="GW39" s="306"/>
      <c r="GX39" s="306"/>
      <c r="GY39" s="306"/>
      <c r="GZ39" s="306"/>
      <c r="HA39" s="306"/>
      <c r="HB39" s="306"/>
      <c r="HC39" s="306"/>
      <c r="HD39" s="306"/>
      <c r="HE39" s="306"/>
      <c r="HF39" s="306"/>
      <c r="HG39" s="306"/>
      <c r="HH39" s="306"/>
    </row>
    <row r="40" spans="2:216">
      <c r="B40" s="11"/>
      <c r="G40" s="11"/>
      <c r="L40" s="11"/>
      <c r="Q40" s="11"/>
      <c r="AU40" s="11"/>
      <c r="AZ40" s="11"/>
      <c r="BA40" s="306"/>
      <c r="BB40" s="306"/>
      <c r="BC40" s="306"/>
      <c r="BD40" s="306"/>
      <c r="BE40" s="11"/>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c r="DJ40" s="306"/>
      <c r="DK40" s="306"/>
      <c r="DL40" s="306"/>
      <c r="DM40" s="306"/>
      <c r="DN40" s="306"/>
      <c r="DO40" s="306"/>
      <c r="DP40" s="306"/>
      <c r="DQ40" s="306"/>
      <c r="DR40" s="306"/>
      <c r="DS40" s="306"/>
      <c r="DT40" s="306"/>
      <c r="DU40" s="306"/>
      <c r="DV40" s="306"/>
      <c r="DW40" s="306"/>
      <c r="DX40" s="306"/>
      <c r="DY40" s="306"/>
      <c r="DZ40" s="306"/>
      <c r="EA40" s="306"/>
      <c r="EB40" s="306"/>
      <c r="EC40" s="306"/>
      <c r="ED40" s="306"/>
      <c r="EE40" s="306"/>
      <c r="EF40" s="306"/>
      <c r="EG40" s="306"/>
      <c r="EH40" s="306"/>
      <c r="EI40" s="306"/>
      <c r="EJ40" s="306"/>
      <c r="EK40" s="306"/>
      <c r="EL40" s="306"/>
      <c r="EM40" s="306"/>
      <c r="EN40" s="306"/>
      <c r="EO40" s="306"/>
      <c r="EP40" s="306"/>
      <c r="EQ40" s="306"/>
      <c r="ER40" s="306"/>
      <c r="ES40" s="306"/>
      <c r="ET40" s="306"/>
      <c r="EU40" s="306"/>
      <c r="EV40" s="306"/>
      <c r="EW40" s="306"/>
      <c r="EX40" s="306"/>
      <c r="EY40" s="306"/>
      <c r="EZ40" s="306"/>
      <c r="FA40" s="306"/>
      <c r="FB40" s="312" t="s">
        <v>172</v>
      </c>
      <c r="FC40" s="305">
        <v>75595</v>
      </c>
      <c r="FD40" s="305">
        <v>51721</v>
      </c>
      <c r="FE40" s="305">
        <v>36103</v>
      </c>
      <c r="FF40" s="331">
        <v>1944940</v>
      </c>
      <c r="FG40" s="306"/>
      <c r="FH40" s="305">
        <v>36445</v>
      </c>
      <c r="FI40" s="305">
        <v>21782</v>
      </c>
      <c r="FJ40" s="305">
        <v>12906</v>
      </c>
      <c r="FK40" s="331">
        <v>1944940</v>
      </c>
      <c r="FL40" s="306"/>
      <c r="FM40" s="305">
        <v>50919</v>
      </c>
      <c r="FN40" s="305">
        <v>34878</v>
      </c>
      <c r="FO40" s="305">
        <v>25991</v>
      </c>
      <c r="FP40" s="331">
        <v>1944940</v>
      </c>
      <c r="FQ40" s="306"/>
      <c r="FR40" s="306"/>
      <c r="FS40" s="306"/>
      <c r="FT40" s="306"/>
      <c r="FU40" s="306"/>
      <c r="FV40" s="306"/>
      <c r="FW40" s="306"/>
      <c r="FX40" s="306"/>
      <c r="FY40" s="306"/>
      <c r="FZ40" s="306"/>
      <c r="GA40" s="306"/>
      <c r="GB40" s="306"/>
      <c r="GC40" s="306"/>
      <c r="GD40" s="306"/>
      <c r="GE40" s="306"/>
      <c r="GF40" s="306"/>
      <c r="GG40" s="306"/>
      <c r="GH40" s="306"/>
      <c r="GI40" s="306"/>
      <c r="GJ40" s="306"/>
      <c r="GK40" s="306"/>
      <c r="GL40" s="306"/>
      <c r="GM40" s="306"/>
      <c r="GN40" s="306"/>
      <c r="GO40" s="306"/>
      <c r="GP40" s="306"/>
      <c r="GQ40" s="306"/>
      <c r="GR40" s="306"/>
      <c r="GS40" s="306"/>
      <c r="GT40" s="306"/>
      <c r="GU40" s="306"/>
      <c r="GV40" s="306"/>
      <c r="GW40" s="306"/>
      <c r="GX40" s="306"/>
      <c r="GY40" s="306"/>
      <c r="GZ40" s="306"/>
      <c r="HA40" s="306"/>
      <c r="HB40" s="306"/>
      <c r="HC40" s="306"/>
      <c r="HD40" s="306"/>
      <c r="HE40" s="306"/>
      <c r="HF40" s="306"/>
      <c r="HG40" s="306"/>
      <c r="HH40" s="306"/>
    </row>
    <row r="41" spans="2:216">
      <c r="B41" s="11"/>
      <c r="G41" s="11"/>
      <c r="L41" s="11"/>
      <c r="Q41" s="11"/>
      <c r="AU41" s="11"/>
      <c r="AZ41" s="11"/>
      <c r="BA41" s="306"/>
      <c r="BB41" s="306"/>
      <c r="BC41" s="306"/>
      <c r="BD41" s="306"/>
      <c r="BE41" s="11"/>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6"/>
      <c r="CP41" s="306"/>
      <c r="CQ41" s="306"/>
      <c r="CR41" s="306"/>
      <c r="CS41" s="306"/>
      <c r="CT41" s="306"/>
      <c r="CU41" s="306"/>
      <c r="CV41" s="306"/>
      <c r="CW41" s="306"/>
      <c r="CX41" s="306"/>
      <c r="CY41" s="306"/>
      <c r="CZ41" s="306"/>
      <c r="DA41" s="306"/>
      <c r="DB41" s="306"/>
      <c r="DC41" s="306"/>
      <c r="DD41" s="306"/>
      <c r="DE41" s="306"/>
      <c r="DF41" s="306"/>
      <c r="DG41" s="306"/>
      <c r="DH41" s="306"/>
      <c r="DI41" s="306"/>
      <c r="DJ41" s="306"/>
      <c r="DK41" s="306"/>
      <c r="DL41" s="306"/>
      <c r="DM41" s="306"/>
      <c r="DN41" s="306"/>
      <c r="DO41" s="306"/>
      <c r="DP41" s="306"/>
      <c r="DQ41" s="306"/>
      <c r="DR41" s="306"/>
      <c r="DS41" s="306"/>
      <c r="DT41" s="306"/>
      <c r="DU41" s="306"/>
      <c r="DV41" s="306"/>
      <c r="DW41" s="306"/>
      <c r="DX41" s="306"/>
      <c r="DY41" s="306"/>
      <c r="DZ41" s="306"/>
      <c r="EA41" s="306"/>
      <c r="EB41" s="306"/>
      <c r="EC41" s="306"/>
      <c r="ED41" s="306"/>
      <c r="EE41" s="306"/>
      <c r="EF41" s="306"/>
      <c r="EG41" s="306"/>
      <c r="EH41" s="306"/>
      <c r="EI41" s="306"/>
      <c r="EJ41" s="306"/>
      <c r="EK41" s="306"/>
      <c r="EL41" s="306"/>
      <c r="EM41" s="306"/>
      <c r="EN41" s="306"/>
      <c r="EO41" s="306"/>
      <c r="EP41" s="306"/>
      <c r="EQ41" s="306"/>
      <c r="ER41" s="306"/>
      <c r="ES41" s="306"/>
      <c r="ET41" s="306"/>
      <c r="EU41" s="306"/>
      <c r="EV41" s="306"/>
      <c r="EW41" s="306"/>
      <c r="EX41" s="306"/>
      <c r="EY41" s="306"/>
      <c r="EZ41" s="306"/>
      <c r="FA41" s="306"/>
      <c r="FB41" s="312" t="s">
        <v>173</v>
      </c>
      <c r="FC41" s="305">
        <v>412047</v>
      </c>
      <c r="FD41" s="305">
        <v>70560</v>
      </c>
      <c r="FE41" s="305">
        <v>34808</v>
      </c>
      <c r="FF41" s="305">
        <v>2169616</v>
      </c>
      <c r="FG41" s="306"/>
      <c r="FH41" s="305">
        <v>242199</v>
      </c>
      <c r="FI41" s="305">
        <v>32175</v>
      </c>
      <c r="FJ41" s="305">
        <v>1157</v>
      </c>
      <c r="FK41" s="305">
        <v>2169616</v>
      </c>
      <c r="FL41" s="306"/>
      <c r="FM41" s="305">
        <v>261695</v>
      </c>
      <c r="FN41" s="305">
        <v>27278</v>
      </c>
      <c r="FO41" s="305">
        <v>-1712</v>
      </c>
      <c r="FP41" s="305">
        <v>2169616</v>
      </c>
      <c r="FQ41" s="306"/>
      <c r="FR41" s="306"/>
      <c r="FS41" s="306"/>
      <c r="FT41" s="306"/>
      <c r="FU41" s="306"/>
      <c r="FV41" s="306"/>
      <c r="FW41" s="306"/>
      <c r="FX41" s="306"/>
      <c r="FY41" s="306"/>
      <c r="FZ41" s="306"/>
      <c r="GA41" s="306"/>
      <c r="GB41" s="306"/>
      <c r="GC41" s="306"/>
      <c r="GD41" s="306"/>
      <c r="GE41" s="306"/>
      <c r="GF41" s="306"/>
      <c r="GG41" s="306"/>
      <c r="GH41" s="306"/>
      <c r="GI41" s="306"/>
      <c r="GJ41" s="306"/>
      <c r="GK41" s="306"/>
      <c r="GL41" s="306"/>
      <c r="GM41" s="306"/>
      <c r="GN41" s="306"/>
      <c r="GO41" s="306"/>
      <c r="GP41" s="306"/>
      <c r="GQ41" s="306"/>
      <c r="GR41" s="306"/>
      <c r="GS41" s="306"/>
      <c r="GT41" s="306"/>
      <c r="GU41" s="306"/>
      <c r="GV41" s="306"/>
      <c r="GW41" s="306"/>
      <c r="GX41" s="306"/>
      <c r="GY41" s="306"/>
      <c r="GZ41" s="306"/>
      <c r="HA41" s="306"/>
      <c r="HB41" s="306"/>
      <c r="HC41" s="306"/>
      <c r="HD41" s="306"/>
      <c r="HE41" s="306"/>
      <c r="HF41" s="306"/>
      <c r="HG41" s="306"/>
      <c r="HH41" s="306"/>
    </row>
    <row r="42" spans="2:216">
      <c r="B42" s="11"/>
      <c r="G42" s="11"/>
      <c r="L42" s="11"/>
      <c r="Q42" s="11"/>
      <c r="AU42" s="11"/>
      <c r="AZ42" s="11"/>
      <c r="BA42" s="306"/>
      <c r="BB42" s="306"/>
      <c r="BC42" s="306"/>
      <c r="BD42" s="306"/>
      <c r="BE42" s="11"/>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6"/>
      <c r="DT42" s="306"/>
      <c r="DU42" s="306"/>
      <c r="DV42" s="306"/>
      <c r="DW42" s="306"/>
      <c r="DX42" s="306"/>
      <c r="DY42" s="306"/>
      <c r="DZ42" s="306"/>
      <c r="EA42" s="306"/>
      <c r="EB42" s="306"/>
      <c r="EC42" s="306"/>
      <c r="ED42" s="306"/>
      <c r="EE42" s="306"/>
      <c r="EF42" s="306"/>
      <c r="EG42" s="306"/>
      <c r="EH42" s="306"/>
      <c r="EI42" s="306"/>
      <c r="EJ42" s="306"/>
      <c r="EK42" s="306"/>
      <c r="EL42" s="306"/>
      <c r="EM42" s="306"/>
      <c r="EN42" s="306"/>
      <c r="EO42" s="306"/>
      <c r="EP42" s="306"/>
      <c r="EQ42" s="306"/>
      <c r="ER42" s="306"/>
      <c r="ES42" s="306"/>
      <c r="ET42" s="306"/>
      <c r="EU42" s="306"/>
      <c r="EV42" s="306"/>
      <c r="EW42" s="306"/>
      <c r="EX42" s="306"/>
      <c r="EY42" s="306"/>
      <c r="EZ42" s="306"/>
      <c r="FA42" s="306"/>
      <c r="FB42" s="312" t="s">
        <v>174</v>
      </c>
      <c r="FC42" s="305">
        <v>1546279</v>
      </c>
      <c r="FD42" s="305">
        <v>507686</v>
      </c>
      <c r="FE42" s="305">
        <v>271310</v>
      </c>
      <c r="FF42" s="331">
        <v>14002290</v>
      </c>
      <c r="FG42" s="306"/>
      <c r="FH42" s="305">
        <v>1440387</v>
      </c>
      <c r="FI42" s="305">
        <v>596593</v>
      </c>
      <c r="FJ42" s="305">
        <v>368174</v>
      </c>
      <c r="FK42" s="331">
        <v>14002290</v>
      </c>
      <c r="FL42" s="306"/>
      <c r="FM42" s="305">
        <v>1469113</v>
      </c>
      <c r="FN42" s="305">
        <v>577973</v>
      </c>
      <c r="FO42" s="305">
        <v>354207</v>
      </c>
      <c r="FP42" s="331">
        <v>14002290</v>
      </c>
      <c r="FQ42" s="306"/>
      <c r="FR42" s="306"/>
      <c r="FS42" s="306"/>
      <c r="FT42" s="306"/>
      <c r="FU42" s="306"/>
      <c r="FV42" s="306"/>
      <c r="FW42" s="306"/>
      <c r="FX42" s="306"/>
      <c r="FY42" s="306"/>
      <c r="FZ42" s="306"/>
      <c r="GA42" s="306"/>
      <c r="GB42" s="306"/>
      <c r="GC42" s="306"/>
      <c r="GD42" s="306"/>
      <c r="GE42" s="306"/>
      <c r="GF42" s="306"/>
      <c r="GG42" s="306"/>
      <c r="GH42" s="306"/>
      <c r="GI42" s="306"/>
      <c r="GJ42" s="306"/>
      <c r="GK42" s="306"/>
      <c r="GL42" s="306"/>
      <c r="GM42" s="306"/>
      <c r="GN42" s="306"/>
      <c r="GO42" s="306"/>
      <c r="GP42" s="306"/>
      <c r="GQ42" s="306"/>
      <c r="GR42" s="306"/>
      <c r="GS42" s="306"/>
      <c r="GT42" s="306"/>
      <c r="GU42" s="306"/>
      <c r="GV42" s="306"/>
      <c r="GW42" s="306"/>
      <c r="GX42" s="306"/>
      <c r="GY42" s="306"/>
      <c r="GZ42" s="306"/>
      <c r="HA42" s="306"/>
      <c r="HB42" s="306"/>
      <c r="HC42" s="306"/>
      <c r="HD42" s="306"/>
      <c r="HE42" s="306"/>
      <c r="HF42" s="306"/>
      <c r="HG42" s="306"/>
      <c r="HH42" s="306"/>
    </row>
    <row r="43" spans="2:216">
      <c r="B43" s="11"/>
      <c r="G43" s="11"/>
      <c r="L43" s="11"/>
      <c r="Q43" s="11"/>
      <c r="AU43" s="11"/>
      <c r="AZ43" s="11"/>
      <c r="BA43" s="306"/>
      <c r="BB43" s="306"/>
      <c r="BC43" s="306"/>
      <c r="BD43" s="306"/>
      <c r="BE43" s="11"/>
      <c r="BF43" s="306"/>
      <c r="BG43" s="306"/>
      <c r="BH43" s="306"/>
      <c r="BI43" s="306"/>
      <c r="BJ43" s="306"/>
      <c r="BK43" s="306"/>
      <c r="BL43" s="306"/>
      <c r="BM43" s="306"/>
      <c r="BN43" s="306"/>
      <c r="BO43" s="306"/>
      <c r="BP43" s="306"/>
      <c r="BQ43" s="306"/>
      <c r="BR43" s="306"/>
      <c r="BS43" s="306"/>
      <c r="BT43" s="306"/>
      <c r="BU43" s="306"/>
      <c r="BV43" s="306"/>
      <c r="BW43" s="306"/>
      <c r="BX43" s="306"/>
      <c r="BY43" s="306"/>
      <c r="BZ43" s="306"/>
      <c r="CA43" s="306"/>
      <c r="CB43" s="306"/>
      <c r="CC43" s="306"/>
      <c r="CD43" s="306"/>
      <c r="CE43" s="306"/>
      <c r="CF43" s="306"/>
      <c r="CG43" s="306"/>
      <c r="CH43" s="306"/>
      <c r="CI43" s="306"/>
      <c r="CJ43" s="306"/>
      <c r="CK43" s="306"/>
      <c r="CL43" s="306"/>
      <c r="CM43" s="306"/>
      <c r="CN43" s="306"/>
      <c r="CO43" s="306"/>
      <c r="CP43" s="306"/>
      <c r="CQ43" s="306"/>
      <c r="CR43" s="306"/>
      <c r="CS43" s="306"/>
      <c r="CT43" s="306"/>
      <c r="CU43" s="306"/>
      <c r="CV43" s="306"/>
      <c r="CW43" s="306"/>
      <c r="CX43" s="306"/>
      <c r="CY43" s="306"/>
      <c r="CZ43" s="306"/>
      <c r="DA43" s="306"/>
      <c r="DB43" s="306"/>
      <c r="DC43" s="306"/>
      <c r="DD43" s="306"/>
      <c r="DE43" s="306"/>
      <c r="DF43" s="306"/>
      <c r="DG43" s="306"/>
      <c r="DH43" s="306"/>
      <c r="DI43" s="306"/>
      <c r="DJ43" s="306"/>
      <c r="DK43" s="306"/>
      <c r="DL43" s="306"/>
      <c r="DM43" s="306"/>
      <c r="DN43" s="306"/>
      <c r="DO43" s="306"/>
      <c r="DP43" s="306"/>
      <c r="DQ43" s="306"/>
      <c r="DR43" s="306"/>
      <c r="DS43" s="306"/>
      <c r="DT43" s="306"/>
      <c r="DU43" s="306"/>
      <c r="DV43" s="306"/>
      <c r="DW43" s="306"/>
      <c r="DX43" s="306"/>
      <c r="DY43" s="306"/>
      <c r="DZ43" s="306"/>
      <c r="EA43" s="306"/>
      <c r="EB43" s="306"/>
      <c r="EC43" s="306"/>
      <c r="ED43" s="306"/>
      <c r="EE43" s="306"/>
      <c r="EF43" s="306"/>
      <c r="EG43" s="306"/>
      <c r="EH43" s="306"/>
      <c r="EI43" s="306"/>
      <c r="EJ43" s="306"/>
      <c r="EK43" s="306"/>
      <c r="EL43" s="306"/>
      <c r="EM43" s="306"/>
      <c r="EN43" s="306"/>
      <c r="EO43" s="306"/>
      <c r="EP43" s="306"/>
      <c r="EQ43" s="306"/>
      <c r="ER43" s="306"/>
      <c r="ES43" s="306"/>
      <c r="ET43" s="306"/>
      <c r="EU43" s="306"/>
      <c r="EV43" s="306"/>
      <c r="EW43" s="306"/>
      <c r="EX43" s="306"/>
      <c r="EY43" s="306"/>
      <c r="EZ43" s="306"/>
      <c r="FA43" s="306"/>
      <c r="FB43" s="312" t="s">
        <v>175</v>
      </c>
      <c r="FC43" s="305">
        <v>4716134</v>
      </c>
      <c r="FD43" s="305">
        <v>152054</v>
      </c>
      <c r="FE43" s="305">
        <v>143572</v>
      </c>
      <c r="FF43" s="331">
        <v>3111539</v>
      </c>
      <c r="FG43" s="306"/>
      <c r="FH43" s="305">
        <v>4307905</v>
      </c>
      <c r="FI43" s="305">
        <v>151423</v>
      </c>
      <c r="FJ43" s="305">
        <v>142487</v>
      </c>
      <c r="FK43" s="331">
        <v>3111539</v>
      </c>
      <c r="FL43" s="306"/>
      <c r="FM43" s="305">
        <v>4202695</v>
      </c>
      <c r="FN43" s="305">
        <v>247856</v>
      </c>
      <c r="FO43" s="305">
        <v>239409</v>
      </c>
      <c r="FP43" s="331">
        <v>3111539</v>
      </c>
      <c r="FQ43" s="306"/>
      <c r="FR43" s="306"/>
      <c r="FS43" s="306"/>
      <c r="FT43" s="306"/>
      <c r="FU43" s="306"/>
      <c r="FV43" s="306"/>
      <c r="FW43" s="306"/>
      <c r="FX43" s="306"/>
      <c r="FY43" s="306"/>
      <c r="FZ43" s="306"/>
      <c r="GA43" s="306"/>
      <c r="GB43" s="306"/>
      <c r="GC43" s="306"/>
      <c r="GD43" s="306"/>
      <c r="GE43" s="306"/>
      <c r="GF43" s="306"/>
      <c r="GG43" s="306"/>
      <c r="GH43" s="306"/>
      <c r="GI43" s="306"/>
      <c r="GJ43" s="306"/>
      <c r="GK43" s="306"/>
      <c r="GL43" s="306"/>
      <c r="GM43" s="306"/>
      <c r="GN43" s="306"/>
      <c r="GO43" s="306"/>
      <c r="GP43" s="306"/>
      <c r="GQ43" s="306"/>
      <c r="GR43" s="306"/>
      <c r="GS43" s="306"/>
      <c r="GT43" s="306"/>
      <c r="GU43" s="306"/>
      <c r="GV43" s="306"/>
      <c r="GW43" s="306"/>
      <c r="GX43" s="306"/>
      <c r="GY43" s="306"/>
      <c r="GZ43" s="306"/>
      <c r="HA43" s="306"/>
      <c r="HB43" s="306"/>
      <c r="HC43" s="306"/>
      <c r="HD43" s="306"/>
      <c r="HE43" s="306"/>
      <c r="HF43" s="306"/>
      <c r="HG43" s="306"/>
      <c r="HH43" s="306"/>
    </row>
    <row r="44" spans="2:216">
      <c r="B44" s="11"/>
      <c r="G44" s="11"/>
      <c r="L44" s="11"/>
      <c r="Q44" s="11"/>
      <c r="AU44" s="11"/>
      <c r="AZ44" s="11"/>
      <c r="BA44" s="306"/>
      <c r="BB44" s="306"/>
      <c r="BC44" s="306"/>
      <c r="BD44" s="306"/>
      <c r="BE44" s="11"/>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306"/>
      <c r="DJ44" s="306"/>
      <c r="DK44" s="306"/>
      <c r="DL44" s="306"/>
      <c r="DM44" s="306"/>
      <c r="DN44" s="306"/>
      <c r="DO44" s="306"/>
      <c r="DP44" s="306"/>
      <c r="DQ44" s="306"/>
      <c r="DR44" s="306"/>
      <c r="DS44" s="306"/>
      <c r="DT44" s="306"/>
      <c r="DU44" s="306"/>
      <c r="DV44" s="306"/>
      <c r="DW44" s="306"/>
      <c r="DX44" s="306"/>
      <c r="DY44" s="306"/>
      <c r="DZ44" s="306"/>
      <c r="EA44" s="306"/>
      <c r="EB44" s="306"/>
      <c r="EC44" s="306"/>
      <c r="ED44" s="306"/>
      <c r="EE44" s="306"/>
      <c r="EF44" s="306"/>
      <c r="EG44" s="306"/>
      <c r="EH44" s="306"/>
      <c r="EI44" s="306"/>
      <c r="EJ44" s="306"/>
      <c r="EK44" s="306"/>
      <c r="EL44" s="306"/>
      <c r="EM44" s="306"/>
      <c r="EN44" s="306"/>
      <c r="EO44" s="306"/>
      <c r="EP44" s="306"/>
      <c r="EQ44" s="306"/>
      <c r="ER44" s="306"/>
      <c r="ES44" s="306"/>
      <c r="ET44" s="306"/>
      <c r="EU44" s="306"/>
      <c r="EV44" s="306"/>
      <c r="EW44" s="306"/>
      <c r="EX44" s="306"/>
      <c r="EY44" s="306"/>
      <c r="EZ44" s="306"/>
      <c r="FA44" s="306"/>
      <c r="FB44" s="312" t="s">
        <v>176</v>
      </c>
      <c r="FC44" s="305">
        <v>117604</v>
      </c>
      <c r="FD44" s="305">
        <v>-26269</v>
      </c>
      <c r="FE44" s="305">
        <v>-32841</v>
      </c>
      <c r="FF44" s="305">
        <v>183519</v>
      </c>
      <c r="FG44" s="306"/>
      <c r="FH44" s="305">
        <v>139772</v>
      </c>
      <c r="FI44" s="305">
        <v>37893</v>
      </c>
      <c r="FJ44" s="305">
        <v>32774</v>
      </c>
      <c r="FK44" s="305">
        <v>183519</v>
      </c>
      <c r="FL44" s="306"/>
      <c r="FM44" s="305">
        <v>131113</v>
      </c>
      <c r="FN44" s="305">
        <v>21556</v>
      </c>
      <c r="FO44" s="305">
        <v>17918</v>
      </c>
      <c r="FP44" s="305">
        <v>183519</v>
      </c>
      <c r="FQ44" s="306"/>
      <c r="FR44" s="306"/>
      <c r="FS44" s="306"/>
      <c r="FT44" s="306"/>
      <c r="FU44" s="306"/>
      <c r="FV44" s="306"/>
      <c r="FW44" s="306"/>
      <c r="FX44" s="306"/>
      <c r="FY44" s="306"/>
      <c r="FZ44" s="306"/>
      <c r="GA44" s="306"/>
      <c r="GB44" s="306"/>
      <c r="GC44" s="306"/>
      <c r="GD44" s="306"/>
      <c r="GE44" s="306"/>
      <c r="GF44" s="306"/>
      <c r="GG44" s="306"/>
      <c r="GH44" s="306"/>
      <c r="GI44" s="306"/>
      <c r="GJ44" s="306"/>
      <c r="GK44" s="306"/>
      <c r="GL44" s="306"/>
      <c r="GM44" s="306"/>
      <c r="GN44" s="306"/>
      <c r="GO44" s="306"/>
      <c r="GP44" s="306"/>
      <c r="GQ44" s="306"/>
      <c r="GR44" s="306"/>
      <c r="GS44" s="306"/>
      <c r="GT44" s="306"/>
      <c r="GU44" s="306"/>
      <c r="GV44" s="306"/>
      <c r="GW44" s="306"/>
      <c r="GX44" s="306"/>
      <c r="GY44" s="306"/>
      <c r="GZ44" s="306"/>
      <c r="HA44" s="306"/>
      <c r="HB44" s="306"/>
      <c r="HC44" s="306"/>
      <c r="HD44" s="306"/>
      <c r="HE44" s="306"/>
      <c r="HF44" s="306"/>
      <c r="HG44" s="306"/>
      <c r="HH44" s="306"/>
    </row>
    <row r="45" spans="2:216">
      <c r="B45" s="11"/>
      <c r="G45" s="11"/>
      <c r="L45" s="11"/>
      <c r="Q45" s="11"/>
      <c r="AU45" s="11"/>
      <c r="AZ45" s="11"/>
      <c r="BA45" s="306"/>
      <c r="BB45" s="306"/>
      <c r="BC45" s="306"/>
      <c r="BD45" s="306"/>
      <c r="BE45" s="11"/>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6"/>
      <c r="CX45" s="306"/>
      <c r="CY45" s="306"/>
      <c r="CZ45" s="306"/>
      <c r="DA45" s="306"/>
      <c r="DB45" s="306"/>
      <c r="DC45" s="306"/>
      <c r="DD45" s="306"/>
      <c r="DE45" s="306"/>
      <c r="DF45" s="306"/>
      <c r="DG45" s="306"/>
      <c r="DH45" s="306"/>
      <c r="DI45" s="306"/>
      <c r="DJ45" s="306"/>
      <c r="DK45" s="306"/>
      <c r="DL45" s="306"/>
      <c r="DM45" s="306"/>
      <c r="DN45" s="306"/>
      <c r="DO45" s="306"/>
      <c r="DP45" s="306"/>
      <c r="DQ45" s="306"/>
      <c r="DR45" s="306"/>
      <c r="DS45" s="306"/>
      <c r="DT45" s="306"/>
      <c r="DU45" s="306"/>
      <c r="DV45" s="306"/>
      <c r="DW45" s="306"/>
      <c r="DX45" s="306"/>
      <c r="DY45" s="306"/>
      <c r="DZ45" s="306"/>
      <c r="EA45" s="306"/>
      <c r="EB45" s="306"/>
      <c r="EC45" s="306"/>
      <c r="ED45" s="306"/>
      <c r="EE45" s="306"/>
      <c r="EF45" s="306"/>
      <c r="EG45" s="306"/>
      <c r="EH45" s="306"/>
      <c r="EI45" s="306"/>
      <c r="EJ45" s="306"/>
      <c r="EK45" s="306"/>
      <c r="EL45" s="306"/>
      <c r="EM45" s="306"/>
      <c r="EN45" s="306"/>
      <c r="EO45" s="306"/>
      <c r="EP45" s="306"/>
      <c r="EQ45" s="306"/>
      <c r="ER45" s="306"/>
      <c r="ES45" s="306"/>
      <c r="ET45" s="306"/>
      <c r="EU45" s="306"/>
      <c r="EV45" s="306"/>
      <c r="EW45" s="306"/>
      <c r="EX45" s="306"/>
      <c r="EY45" s="306"/>
      <c r="EZ45" s="306"/>
      <c r="FA45" s="306"/>
      <c r="FB45" s="322" t="s">
        <v>169</v>
      </c>
      <c r="FC45" s="319">
        <v>77093</v>
      </c>
      <c r="FD45" s="319">
        <v>3386</v>
      </c>
      <c r="FE45" s="319">
        <v>3330</v>
      </c>
      <c r="FF45" s="319">
        <v>170774</v>
      </c>
      <c r="FG45" s="306"/>
      <c r="FH45" s="319">
        <v>67137</v>
      </c>
      <c r="FI45" s="319">
        <v>7908</v>
      </c>
      <c r="FJ45" s="319">
        <v>5723</v>
      </c>
      <c r="FK45" s="319">
        <v>170774</v>
      </c>
      <c r="FL45" s="306"/>
      <c r="FM45" s="319">
        <v>62475</v>
      </c>
      <c r="FN45" s="319">
        <v>3861</v>
      </c>
      <c r="FO45" s="319">
        <v>1662</v>
      </c>
      <c r="FP45" s="319">
        <v>170774</v>
      </c>
      <c r="FQ45" s="306"/>
      <c r="FR45" s="306"/>
      <c r="FS45" s="306"/>
      <c r="FT45" s="306"/>
      <c r="FU45" s="306"/>
      <c r="FV45" s="306"/>
      <c r="FW45" s="306"/>
      <c r="FX45" s="306"/>
      <c r="FY45" s="306"/>
      <c r="FZ45" s="306"/>
      <c r="GA45" s="306"/>
      <c r="GB45" s="306"/>
      <c r="GC45" s="306"/>
      <c r="GD45" s="306"/>
      <c r="GE45" s="306"/>
      <c r="GF45" s="306"/>
      <c r="GG45" s="306"/>
      <c r="GH45" s="306"/>
      <c r="GI45" s="306"/>
      <c r="GJ45" s="306"/>
      <c r="GK45" s="306"/>
      <c r="GL45" s="306"/>
      <c r="GM45" s="306"/>
      <c r="GN45" s="306"/>
      <c r="GO45" s="306"/>
      <c r="GP45" s="306"/>
      <c r="GQ45" s="306"/>
      <c r="GR45" s="306"/>
      <c r="GS45" s="306"/>
      <c r="GT45" s="306"/>
      <c r="GU45" s="306"/>
      <c r="GV45" s="306"/>
      <c r="GW45" s="306"/>
      <c r="GX45" s="306"/>
      <c r="GY45" s="306"/>
      <c r="GZ45" s="306"/>
      <c r="HA45" s="306"/>
      <c r="HB45" s="306"/>
      <c r="HC45" s="306"/>
      <c r="HD45" s="306"/>
      <c r="HE45" s="306"/>
      <c r="HF45" s="306"/>
      <c r="HG45" s="306"/>
      <c r="HH45" s="306"/>
    </row>
    <row r="46" spans="2:216">
      <c r="B46" s="11"/>
      <c r="G46" s="11"/>
      <c r="L46" s="11"/>
      <c r="Q46" s="11"/>
      <c r="AU46" s="11"/>
      <c r="AZ46" s="11"/>
      <c r="BE46" s="11"/>
      <c r="BJ46" s="11"/>
      <c r="BT46" s="11"/>
      <c r="BY46" s="11"/>
      <c r="CD46" s="11"/>
      <c r="CI46" s="11"/>
      <c r="CN46" s="11"/>
      <c r="CS46" s="11"/>
      <c r="CX46" s="11"/>
      <c r="DC46" s="11"/>
      <c r="DH46" s="11"/>
      <c r="DM46" s="11"/>
      <c r="DN46" s="11"/>
      <c r="DO46" s="11"/>
      <c r="DP46" s="11"/>
      <c r="DQ46" s="11"/>
      <c r="DR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row>
  </sheetData>
  <customSheetViews>
    <customSheetView guid="{786DE933-524F-40D1-8033-C008687087FC}">
      <selection activeCell="F17" sqref="F17"/>
      <pageMargins left="0.7" right="0.7" top="0.75" bottom="0.75" header="0.3" footer="0.3"/>
    </customSheetView>
    <customSheetView guid="{627AEB6E-B9F1-415E-9A60-881757A50C67}">
      <selection activeCell="C19" sqref="C19"/>
      <pageMargins left="0.7" right="0.7" top="0.75" bottom="0.75" header="0.3" footer="0.3"/>
    </customSheetView>
    <customSheetView guid="{874BA5F8-BD95-4DDF-8F31-98DB154CA965}">
      <selection activeCell="A2" sqref="A2"/>
      <pageMargins left="0.7" right="0.7" top="0.75" bottom="0.75" header="0.3" footer="0.3"/>
    </customSheetView>
    <customSheetView guid="{AAA495E0-27FD-4941-85B8-9038B6AD4FA3}">
      <selection activeCell="A2" sqref="A2"/>
      <pageMargins left="0.7" right="0.7" top="0.75" bottom="0.75" header="0.3" footer="0.3"/>
    </customSheetView>
    <customSheetView guid="{77EFF5B1-32BE-4080-9902-B97F43099026}">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GG29"/>
  <sheetViews>
    <sheetView workbookViewId="0">
      <selection activeCell="D18" sqref="D18"/>
    </sheetView>
  </sheetViews>
  <sheetFormatPr defaultColWidth="9.140625" defaultRowHeight="15"/>
  <cols>
    <col min="1" max="1" width="39.140625" style="10" customWidth="1"/>
    <col min="2" max="2" width="3.7109375" style="10" customWidth="1"/>
    <col min="3" max="3" width="16.85546875" style="567" customWidth="1"/>
    <col min="4" max="4" width="16.85546875" style="306" customWidth="1"/>
    <col min="5" max="5" width="3.7109375" style="10" customWidth="1"/>
    <col min="6" max="6" width="16.85546875" style="567" customWidth="1"/>
    <col min="7" max="7" width="16.85546875" style="306" customWidth="1"/>
    <col min="8" max="8" width="3.7109375" style="10" customWidth="1"/>
    <col min="9" max="9" width="16.85546875" style="567" customWidth="1"/>
    <col min="10" max="10" width="16.85546875" style="306" customWidth="1"/>
    <col min="11" max="11" width="6.28515625" style="306" customWidth="1"/>
    <col min="12" max="12" width="16.85546875" style="635" customWidth="1"/>
    <col min="13" max="13" width="16.85546875" style="602" customWidth="1"/>
    <col min="14" max="14" width="3.5703125" style="602" customWidth="1"/>
    <col min="15" max="15" width="16.85546875" style="635" customWidth="1"/>
    <col min="16" max="16" width="16.85546875" style="602" customWidth="1"/>
    <col min="17" max="17" width="7.5703125" style="602" customWidth="1"/>
    <col min="18" max="18" width="16.85546875" style="635" customWidth="1"/>
    <col min="19" max="19" width="16.85546875" style="602" customWidth="1"/>
    <col min="20" max="20" width="3.5703125" style="602" customWidth="1"/>
    <col min="21" max="21" width="16.85546875" style="635" customWidth="1"/>
    <col min="22" max="22" width="16.85546875" style="602" customWidth="1"/>
    <col min="23" max="23" width="7.5703125" style="602" customWidth="1"/>
    <col min="24" max="24" width="16.85546875" style="321" customWidth="1"/>
    <col min="25" max="25" width="16.85546875" style="306" customWidth="1"/>
    <col min="26" max="26" width="3.7109375" style="306" customWidth="1"/>
    <col min="27" max="27" width="16.85546875" style="321" customWidth="1"/>
    <col min="28" max="28" width="16.85546875" style="306" customWidth="1"/>
    <col min="29" max="29" width="7.5703125" style="306" customWidth="1"/>
    <col min="30" max="30" width="16.85546875" style="321" customWidth="1"/>
    <col min="31" max="31" width="16.85546875" style="306" customWidth="1"/>
    <col min="32" max="32" width="6.28515625" style="306" customWidth="1"/>
    <col min="33" max="33" width="16.7109375" style="85" customWidth="1"/>
    <col min="34" max="34" width="16.7109375" style="10" customWidth="1"/>
    <col min="35" max="35" width="4" style="10" customWidth="1"/>
    <col min="36" max="36" width="16.85546875" style="85" customWidth="1"/>
    <col min="37" max="37" width="16.85546875" style="10" customWidth="1"/>
    <col min="38" max="38" width="3" style="10" customWidth="1"/>
    <col min="39" max="39" width="16" style="85" customWidth="1"/>
    <col min="40" max="40" width="16" style="10" customWidth="1"/>
    <col min="41" max="41" width="3.7109375" style="10" customWidth="1"/>
    <col min="42" max="42" width="14.85546875" style="85" customWidth="1"/>
    <col min="43" max="43" width="14.85546875" style="10" customWidth="1"/>
    <col min="44" max="44" width="3.7109375" style="10" customWidth="1"/>
    <col min="45" max="45" width="16.5703125" style="85" customWidth="1"/>
    <col min="46" max="46" width="16.5703125" style="10" customWidth="1"/>
    <col min="47" max="47" width="4" style="10" customWidth="1"/>
    <col min="48" max="48" width="14.85546875" style="85" customWidth="1"/>
    <col min="49" max="49" width="14.85546875" style="10" customWidth="1"/>
    <col min="50" max="50" width="4.140625" style="10" customWidth="1"/>
    <col min="51" max="51" width="14.7109375" style="85" customWidth="1"/>
    <col min="52" max="52" width="14.7109375" style="10" customWidth="1"/>
    <col min="53" max="53" width="3.7109375" style="10" customWidth="1"/>
    <col min="54" max="54" width="15" style="85" customWidth="1"/>
    <col min="55" max="55" width="15" style="10" customWidth="1"/>
    <col min="56" max="56" width="3.140625" style="10" customWidth="1"/>
    <col min="57" max="58" width="14.85546875" style="10" customWidth="1"/>
    <col min="59" max="59" width="4.85546875" style="10" customWidth="1"/>
    <col min="60" max="60" width="16.140625" style="85" customWidth="1"/>
    <col min="61" max="61" width="16.140625" style="10" customWidth="1"/>
    <col min="62" max="62" width="3.7109375" style="10" customWidth="1"/>
    <col min="63" max="64" width="15" style="10" customWidth="1"/>
    <col min="65" max="65" width="5.85546875" style="10" customWidth="1"/>
    <col min="66" max="66" width="14" style="85" customWidth="1"/>
    <col min="67" max="67" width="14" style="10" customWidth="1"/>
    <col min="68" max="68" width="3.7109375" style="10" customWidth="1"/>
    <col min="69" max="70" width="15" style="10" customWidth="1"/>
    <col min="71" max="71" width="5.85546875" style="10" customWidth="1"/>
    <col min="72" max="72" width="14.85546875" style="85" customWidth="1"/>
    <col min="73" max="73" width="14.85546875" style="10" customWidth="1"/>
    <col min="74" max="74" width="3.7109375" style="10" customWidth="1"/>
    <col min="75" max="76" width="11.140625" style="10" customWidth="1"/>
    <col min="77" max="77" width="3.7109375" style="10" customWidth="1"/>
    <col min="78" max="78" width="14.140625" style="10" customWidth="1"/>
    <col min="79" max="79" width="15.42578125" style="10" customWidth="1"/>
    <col min="80" max="80" width="3.7109375" style="10" customWidth="1"/>
    <col min="81" max="82" width="18.140625" style="10" customWidth="1"/>
    <col min="83" max="83" width="3.7109375" style="10" customWidth="1"/>
    <col min="84" max="85" width="16" style="10" customWidth="1"/>
    <col min="86" max="86" width="3.7109375" style="10" customWidth="1"/>
    <col min="87" max="88" width="16.85546875" style="10" customWidth="1"/>
    <col min="89" max="89" width="3.7109375" style="10" customWidth="1"/>
    <col min="90" max="91" width="16.42578125" style="10" customWidth="1"/>
    <col min="92" max="92" width="3.7109375" style="10" customWidth="1"/>
    <col min="93" max="94" width="16.28515625" style="10" customWidth="1"/>
    <col min="95" max="95" width="3.7109375" style="10" customWidth="1"/>
    <col min="96" max="96" width="31.85546875" style="10" bestFit="1" customWidth="1"/>
    <col min="97" max="98" width="13" style="10" customWidth="1"/>
    <col min="99" max="99" width="3.7109375" style="10" customWidth="1"/>
    <col min="100" max="101" width="12.42578125" style="10" customWidth="1"/>
    <col min="102" max="102" width="3.7109375" style="10" customWidth="1"/>
    <col min="103" max="104" width="12.7109375" style="10" customWidth="1"/>
    <col min="105" max="105" width="3.7109375" style="10" customWidth="1"/>
    <col min="106" max="107" width="12.140625" style="10" customWidth="1"/>
    <col min="108" max="16384" width="9.140625" style="10"/>
  </cols>
  <sheetData>
    <row r="1" spans="1:189" ht="20.25">
      <c r="A1" s="1" t="s">
        <v>291</v>
      </c>
      <c r="B1" s="68"/>
      <c r="C1" s="636"/>
      <c r="D1" s="304"/>
      <c r="E1" s="68"/>
      <c r="F1" s="636"/>
      <c r="G1" s="304"/>
      <c r="H1" s="68"/>
      <c r="I1" s="636"/>
      <c r="J1" s="304"/>
      <c r="K1" s="301"/>
      <c r="L1" s="627"/>
      <c r="M1" s="628"/>
      <c r="N1" s="601"/>
      <c r="O1" s="627"/>
      <c r="P1" s="628"/>
      <c r="Q1" s="601"/>
      <c r="R1" s="627"/>
      <c r="S1" s="628"/>
      <c r="T1" s="601"/>
      <c r="U1" s="627"/>
      <c r="V1" s="628"/>
      <c r="W1" s="601"/>
      <c r="X1" s="553"/>
      <c r="Y1" s="304"/>
      <c r="Z1" s="301"/>
      <c r="AA1" s="553"/>
      <c r="AB1" s="304"/>
      <c r="AC1" s="301"/>
      <c r="AD1" s="553"/>
      <c r="AE1" s="304"/>
      <c r="AF1" s="301"/>
      <c r="AG1" s="84"/>
      <c r="AH1" s="2"/>
      <c r="AI1" s="68"/>
      <c r="AJ1" s="84"/>
      <c r="AK1" s="2"/>
      <c r="AL1" s="68"/>
      <c r="AM1" s="84"/>
      <c r="AN1" s="2"/>
      <c r="AO1" s="68"/>
      <c r="AP1" s="84"/>
      <c r="AQ1" s="2"/>
      <c r="AR1" s="68"/>
      <c r="AS1" s="84"/>
      <c r="AT1" s="2"/>
      <c r="AU1" s="68"/>
      <c r="AV1" s="84"/>
      <c r="AW1" s="2"/>
      <c r="AX1" s="68"/>
      <c r="AY1" s="84"/>
      <c r="AZ1" s="2"/>
      <c r="BA1" s="68"/>
      <c r="BB1" s="84"/>
      <c r="BC1" s="2"/>
      <c r="BD1" s="68"/>
      <c r="BE1" s="2"/>
      <c r="BF1" s="2"/>
      <c r="BG1" s="68"/>
      <c r="BH1" s="84"/>
      <c r="BI1" s="2"/>
      <c r="BJ1" s="68"/>
      <c r="BK1" s="2"/>
      <c r="BL1" s="2"/>
      <c r="BM1" s="68"/>
      <c r="BN1" s="84"/>
      <c r="BO1" s="2"/>
      <c r="BP1" s="68"/>
      <c r="BQ1" s="2"/>
      <c r="BR1" s="2"/>
      <c r="BS1" s="68"/>
      <c r="BT1" s="84"/>
      <c r="BU1" s="2"/>
      <c r="BV1" s="68"/>
      <c r="BW1" s="2"/>
      <c r="BX1" s="2"/>
      <c r="BY1" s="68"/>
      <c r="BZ1" s="2"/>
      <c r="CA1" s="2"/>
      <c r="CB1" s="68"/>
      <c r="CC1" s="2"/>
      <c r="CD1" s="2"/>
      <c r="CE1" s="536"/>
      <c r="CF1" s="2"/>
      <c r="CG1" s="2"/>
      <c r="CH1" s="536"/>
      <c r="CI1" s="2"/>
      <c r="CJ1" s="2"/>
      <c r="CK1" s="536"/>
      <c r="CL1" s="2"/>
      <c r="CM1" s="2"/>
      <c r="CN1" s="536"/>
      <c r="CO1" s="2"/>
      <c r="CP1" s="2"/>
      <c r="CQ1" s="536"/>
      <c r="CR1" s="1" t="s">
        <v>29</v>
      </c>
      <c r="CS1" s="2"/>
      <c r="CT1" s="2"/>
      <c r="CU1" s="536"/>
      <c r="CV1" s="3"/>
      <c r="CW1" s="3"/>
      <c r="CX1" s="536"/>
      <c r="CY1" s="536"/>
      <c r="CZ1" s="536"/>
      <c r="DA1" s="536"/>
      <c r="DB1" s="536"/>
      <c r="DC1" s="536"/>
    </row>
    <row r="2" spans="1:189" ht="20.25">
      <c r="A2" s="68"/>
      <c r="B2" s="654"/>
      <c r="C2" s="669"/>
      <c r="D2" s="669"/>
      <c r="E2" s="654"/>
      <c r="F2" s="669"/>
      <c r="G2" s="669"/>
      <c r="H2" s="537"/>
      <c r="I2" s="669"/>
      <c r="J2" s="669"/>
      <c r="K2" s="298"/>
      <c r="L2" s="671"/>
      <c r="M2" s="671"/>
      <c r="N2" s="629"/>
      <c r="O2" s="671"/>
      <c r="P2" s="671"/>
      <c r="Q2" s="629"/>
      <c r="R2" s="671"/>
      <c r="S2" s="671"/>
      <c r="T2" s="629"/>
      <c r="U2" s="671"/>
      <c r="V2" s="671"/>
      <c r="W2" s="629"/>
      <c r="X2" s="669"/>
      <c r="Y2" s="669"/>
      <c r="Z2" s="298"/>
      <c r="AA2" s="669"/>
      <c r="AB2" s="669"/>
      <c r="AC2" s="298"/>
      <c r="AD2" s="669"/>
      <c r="AE2" s="669"/>
      <c r="AF2" s="298"/>
      <c r="AG2" s="669"/>
      <c r="AH2" s="669"/>
      <c r="AI2" s="537"/>
      <c r="AJ2" s="670"/>
      <c r="AK2" s="670"/>
      <c r="AL2" s="298"/>
      <c r="AM2" s="669"/>
      <c r="AN2" s="669"/>
      <c r="AO2" s="298"/>
      <c r="AP2" s="670"/>
      <c r="AQ2" s="670"/>
      <c r="AR2" s="298"/>
      <c r="AS2" s="669"/>
      <c r="AT2" s="669"/>
      <c r="AU2" s="298"/>
      <c r="AV2" s="670"/>
      <c r="AW2" s="670"/>
      <c r="AX2" s="298"/>
      <c r="AY2" s="670"/>
      <c r="AZ2" s="670"/>
      <c r="BA2" s="298"/>
      <c r="BB2" s="669"/>
      <c r="BC2" s="669"/>
      <c r="BD2" s="298"/>
      <c r="BE2" s="670"/>
      <c r="BF2" s="670"/>
      <c r="BG2" s="298"/>
      <c r="BH2" s="669"/>
      <c r="BI2" s="669"/>
      <c r="BJ2" s="298"/>
      <c r="BK2" s="670"/>
      <c r="BL2" s="670"/>
      <c r="BM2" s="298"/>
      <c r="BN2" s="669"/>
      <c r="BO2" s="669"/>
      <c r="BP2" s="298"/>
      <c r="BQ2" s="670"/>
      <c r="BR2" s="670"/>
      <c r="BS2" s="298"/>
      <c r="BT2" s="670"/>
      <c r="BU2" s="670"/>
      <c r="BV2" s="298"/>
      <c r="BW2" s="669"/>
      <c r="BX2" s="669"/>
      <c r="BY2" s="298"/>
      <c r="BZ2" s="670"/>
      <c r="CA2" s="670"/>
      <c r="CB2" s="301"/>
      <c r="CC2" s="669"/>
      <c r="CD2" s="669"/>
      <c r="CE2" s="302"/>
      <c r="CF2" s="670"/>
      <c r="CG2" s="670"/>
      <c r="CH2" s="302"/>
      <c r="CI2" s="669"/>
      <c r="CJ2" s="669"/>
      <c r="CK2" s="302"/>
      <c r="CL2" s="670"/>
      <c r="CM2" s="670"/>
      <c r="CN2" s="302"/>
      <c r="CO2" s="670"/>
      <c r="CP2" s="670"/>
      <c r="CQ2" s="302"/>
      <c r="CR2" s="301"/>
      <c r="CS2" s="303"/>
      <c r="CT2" s="303"/>
      <c r="CU2" s="302"/>
      <c r="CV2" s="304"/>
      <c r="CW2" s="304"/>
      <c r="CX2" s="302"/>
      <c r="CY2" s="305"/>
      <c r="CZ2" s="305"/>
      <c r="DA2" s="302"/>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row>
    <row r="3" spans="1:189" ht="36" customHeight="1">
      <c r="A3" s="75" t="s">
        <v>477</v>
      </c>
      <c r="B3" s="76"/>
      <c r="C3" s="468" t="s">
        <v>996</v>
      </c>
      <c r="D3" s="299" t="s">
        <v>997</v>
      </c>
      <c r="E3" s="76"/>
      <c r="F3" s="468" t="s">
        <v>995</v>
      </c>
      <c r="G3" s="299" t="s">
        <v>827</v>
      </c>
      <c r="H3" s="76"/>
      <c r="I3" s="630" t="s">
        <v>966</v>
      </c>
      <c r="J3" s="299" t="s">
        <v>384</v>
      </c>
      <c r="K3" s="307"/>
      <c r="L3" s="630">
        <v>2018</v>
      </c>
      <c r="M3" s="630">
        <v>2017</v>
      </c>
      <c r="N3" s="631"/>
      <c r="O3" s="630" t="s">
        <v>929</v>
      </c>
      <c r="P3" s="630" t="s">
        <v>829</v>
      </c>
      <c r="Q3" s="631"/>
      <c r="R3" s="630" t="s">
        <v>892</v>
      </c>
      <c r="S3" s="630" t="s">
        <v>432</v>
      </c>
      <c r="T3" s="631"/>
      <c r="U3" s="630" t="s">
        <v>893</v>
      </c>
      <c r="V3" s="630" t="s">
        <v>388</v>
      </c>
      <c r="W3" s="631"/>
      <c r="X3" s="299" t="s">
        <v>826</v>
      </c>
      <c r="Y3" s="299" t="s">
        <v>403</v>
      </c>
      <c r="Z3" s="307"/>
      <c r="AA3" s="299" t="s">
        <v>827</v>
      </c>
      <c r="AB3" s="299" t="s">
        <v>390</v>
      </c>
      <c r="AC3" s="307"/>
      <c r="AD3" s="299" t="s">
        <v>384</v>
      </c>
      <c r="AE3" s="299" t="s">
        <v>385</v>
      </c>
      <c r="AF3" s="307"/>
      <c r="AG3" s="299">
        <v>2017</v>
      </c>
      <c r="AH3" s="299">
        <v>2016</v>
      </c>
      <c r="AI3" s="76"/>
      <c r="AJ3" s="299" t="s">
        <v>386</v>
      </c>
      <c r="AK3" s="299" t="s">
        <v>387</v>
      </c>
      <c r="AL3" s="307"/>
      <c r="AM3" s="299" t="s">
        <v>432</v>
      </c>
      <c r="AN3" s="299" t="s">
        <v>407</v>
      </c>
      <c r="AO3" s="307"/>
      <c r="AP3" s="299" t="s">
        <v>388</v>
      </c>
      <c r="AQ3" s="299" t="s">
        <v>389</v>
      </c>
      <c r="AR3" s="307"/>
      <c r="AS3" s="299" t="s">
        <v>403</v>
      </c>
      <c r="AT3" s="299" t="s">
        <v>404</v>
      </c>
      <c r="AU3" s="307"/>
      <c r="AV3" s="299" t="s">
        <v>390</v>
      </c>
      <c r="AW3" s="299" t="s">
        <v>391</v>
      </c>
      <c r="AX3" s="307"/>
      <c r="AY3" s="299" t="s">
        <v>385</v>
      </c>
      <c r="AZ3" s="299" t="s">
        <v>392</v>
      </c>
      <c r="BA3" s="307"/>
      <c r="BB3" s="299">
        <v>2016</v>
      </c>
      <c r="BC3" s="299">
        <v>2015</v>
      </c>
      <c r="BD3" s="306"/>
      <c r="BE3" s="299" t="s">
        <v>429</v>
      </c>
      <c r="BF3" s="299" t="s">
        <v>430</v>
      </c>
      <c r="BG3" s="307"/>
      <c r="BH3" s="299" t="s">
        <v>407</v>
      </c>
      <c r="BI3" s="299" t="s">
        <v>408</v>
      </c>
      <c r="BJ3" s="306"/>
      <c r="BK3" s="299" t="s">
        <v>409</v>
      </c>
      <c r="BL3" s="299" t="s">
        <v>887</v>
      </c>
      <c r="BM3" s="307"/>
      <c r="BN3" s="300" t="s">
        <v>411</v>
      </c>
      <c r="BO3" s="299" t="s">
        <v>412</v>
      </c>
      <c r="BP3" s="307"/>
      <c r="BQ3" s="300" t="s">
        <v>413</v>
      </c>
      <c r="BR3" s="299" t="s">
        <v>414</v>
      </c>
      <c r="BS3" s="307"/>
      <c r="BT3" s="300" t="s">
        <v>415</v>
      </c>
      <c r="BU3" s="299" t="s">
        <v>416</v>
      </c>
      <c r="BV3" s="307"/>
      <c r="BW3" s="300">
        <v>2015</v>
      </c>
      <c r="BX3" s="299">
        <v>2014</v>
      </c>
      <c r="BY3" s="307"/>
      <c r="BZ3" s="300" t="s">
        <v>406</v>
      </c>
      <c r="CA3" s="299" t="s">
        <v>395</v>
      </c>
      <c r="CB3" s="307"/>
      <c r="CC3" s="299" t="s">
        <v>408</v>
      </c>
      <c r="CD3" s="299" t="s">
        <v>417</v>
      </c>
      <c r="CE3" s="306"/>
      <c r="CF3" s="299" t="s">
        <v>418</v>
      </c>
      <c r="CG3" s="299" t="s">
        <v>419</v>
      </c>
      <c r="CH3" s="306"/>
      <c r="CI3" s="299" t="s">
        <v>420</v>
      </c>
      <c r="CJ3" s="299" t="s">
        <v>393</v>
      </c>
      <c r="CK3" s="306"/>
      <c r="CL3" s="299" t="s">
        <v>421</v>
      </c>
      <c r="CM3" s="299" t="s">
        <v>399</v>
      </c>
      <c r="CN3" s="306"/>
      <c r="CO3" s="299" t="s">
        <v>422</v>
      </c>
      <c r="CP3" s="299" t="s">
        <v>423</v>
      </c>
      <c r="CQ3" s="306"/>
      <c r="CR3" s="308" t="s">
        <v>477</v>
      </c>
      <c r="CS3" s="309">
        <v>2014</v>
      </c>
      <c r="CT3" s="309">
        <v>2013</v>
      </c>
      <c r="CU3" s="306"/>
      <c r="CV3" s="309" t="s">
        <v>417</v>
      </c>
      <c r="CW3" s="309" t="s">
        <v>424</v>
      </c>
      <c r="CX3" s="306"/>
      <c r="CY3" s="309" t="s">
        <v>393</v>
      </c>
      <c r="CZ3" s="309" t="s">
        <v>394</v>
      </c>
      <c r="DA3" s="306"/>
      <c r="DB3" s="309">
        <v>2013</v>
      </c>
      <c r="DC3" s="309">
        <v>2012</v>
      </c>
      <c r="DD3" s="306"/>
      <c r="DE3" s="306"/>
      <c r="DF3" s="306"/>
      <c r="DG3" s="306"/>
      <c r="DH3" s="306"/>
      <c r="DI3" s="306"/>
      <c r="DJ3" s="306"/>
      <c r="DK3" s="306"/>
      <c r="DL3" s="306"/>
      <c r="DM3" s="306"/>
      <c r="DN3" s="306"/>
      <c r="DO3" s="306"/>
      <c r="DP3" s="306"/>
      <c r="DQ3" s="306"/>
      <c r="DR3" s="306"/>
      <c r="DS3" s="306"/>
      <c r="DT3" s="306"/>
      <c r="DU3" s="306"/>
      <c r="DV3" s="306"/>
      <c r="DW3" s="306"/>
      <c r="DX3" s="306"/>
      <c r="DY3" s="306"/>
      <c r="DZ3" s="306"/>
      <c r="EA3" s="306"/>
      <c r="EB3" s="306"/>
      <c r="EC3" s="306"/>
      <c r="ED3" s="306"/>
      <c r="EE3" s="306"/>
      <c r="EF3" s="306"/>
      <c r="EG3" s="306"/>
      <c r="EH3" s="306"/>
      <c r="EI3" s="306"/>
      <c r="EJ3" s="306"/>
      <c r="EK3" s="306"/>
      <c r="EL3" s="306"/>
      <c r="EM3" s="306"/>
      <c r="EN3" s="306"/>
      <c r="EO3" s="306"/>
      <c r="EP3" s="306"/>
      <c r="EQ3" s="306"/>
      <c r="ER3" s="306"/>
      <c r="ES3" s="306"/>
      <c r="ET3" s="306"/>
      <c r="EU3" s="306"/>
      <c r="EV3" s="306"/>
      <c r="EW3" s="306"/>
      <c r="EX3" s="306"/>
      <c r="EY3" s="306"/>
      <c r="EZ3" s="306"/>
      <c r="FA3" s="306"/>
      <c r="FB3" s="306"/>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row>
    <row r="4" spans="1:189">
      <c r="A4" s="77" t="s">
        <v>170</v>
      </c>
      <c r="B4" s="78"/>
      <c r="C4" s="637">
        <v>236730</v>
      </c>
      <c r="D4" s="311">
        <v>171010</v>
      </c>
      <c r="E4" s="78"/>
      <c r="F4" s="637">
        <v>117872</v>
      </c>
      <c r="G4" s="311">
        <v>93845</v>
      </c>
      <c r="H4" s="78"/>
      <c r="I4" s="632">
        <v>118858</v>
      </c>
      <c r="J4" s="311">
        <v>77165</v>
      </c>
      <c r="K4" s="312"/>
      <c r="L4" s="632">
        <f>'[2]1_1 '!$B$35</f>
        <v>247493</v>
      </c>
      <c r="M4" s="290">
        <f>'[2]1_1 '!$B$72</f>
        <v>165978</v>
      </c>
      <c r="N4" s="633"/>
      <c r="O4" s="632">
        <f t="shared" ref="O4:P8" si="0">L4-R4</f>
        <v>86872</v>
      </c>
      <c r="P4" s="290">
        <f t="shared" si="0"/>
        <v>77191</v>
      </c>
      <c r="Q4" s="633"/>
      <c r="R4" s="632">
        <v>160621</v>
      </c>
      <c r="S4" s="290">
        <v>88787</v>
      </c>
      <c r="T4" s="633"/>
      <c r="U4" s="632">
        <v>69780</v>
      </c>
      <c r="V4" s="290">
        <v>32915</v>
      </c>
      <c r="W4" s="633"/>
      <c r="X4" s="310">
        <v>90841</v>
      </c>
      <c r="Y4" s="311">
        <v>55872</v>
      </c>
      <c r="Z4" s="312"/>
      <c r="AA4" s="310">
        <v>51459</v>
      </c>
      <c r="AB4" s="311">
        <v>26651</v>
      </c>
      <c r="AC4" s="312"/>
      <c r="AD4" s="310">
        <v>39382</v>
      </c>
      <c r="AE4" s="311">
        <v>29221</v>
      </c>
      <c r="AF4" s="312"/>
      <c r="AG4" s="310">
        <v>165978</v>
      </c>
      <c r="AH4" s="311">
        <v>283169</v>
      </c>
      <c r="AI4" s="78"/>
      <c r="AJ4" s="310">
        <v>77191</v>
      </c>
      <c r="AK4" s="311">
        <v>150825</v>
      </c>
      <c r="AL4" s="312"/>
      <c r="AM4" s="310">
        <v>88787</v>
      </c>
      <c r="AN4" s="311">
        <v>132344</v>
      </c>
      <c r="AO4" s="312"/>
      <c r="AP4" s="310">
        <v>32915</v>
      </c>
      <c r="AQ4" s="311">
        <v>41690</v>
      </c>
      <c r="AR4" s="312"/>
      <c r="AS4" s="310">
        <v>55872</v>
      </c>
      <c r="AT4" s="311">
        <v>90654</v>
      </c>
      <c r="AU4" s="312"/>
      <c r="AV4" s="310">
        <v>26651</v>
      </c>
      <c r="AW4" s="311">
        <v>27237</v>
      </c>
      <c r="AX4" s="312"/>
      <c r="AY4" s="310">
        <v>29221</v>
      </c>
      <c r="AZ4" s="311">
        <v>63417</v>
      </c>
      <c r="BA4" s="312"/>
      <c r="BB4" s="310">
        <v>283169</v>
      </c>
      <c r="BC4" s="311">
        <v>211458</v>
      </c>
      <c r="BD4" s="312"/>
      <c r="BE4" s="310">
        <v>150825</v>
      </c>
      <c r="BF4" s="311">
        <v>33912</v>
      </c>
      <c r="BG4" s="312"/>
      <c r="BH4" s="310">
        <v>132344</v>
      </c>
      <c r="BI4" s="311">
        <v>177546</v>
      </c>
      <c r="BJ4" s="312"/>
      <c r="BK4" s="310">
        <v>41690</v>
      </c>
      <c r="BL4" s="311">
        <v>31301</v>
      </c>
      <c r="BM4" s="312"/>
      <c r="BN4" s="310">
        <v>90654</v>
      </c>
      <c r="BO4" s="311">
        <v>146245</v>
      </c>
      <c r="BP4" s="312"/>
      <c r="BQ4" s="310">
        <v>27237</v>
      </c>
      <c r="BR4" s="311">
        <v>86032</v>
      </c>
      <c r="BS4" s="312"/>
      <c r="BT4" s="310">
        <v>63417</v>
      </c>
      <c r="BU4" s="311">
        <v>60213</v>
      </c>
      <c r="BV4" s="312"/>
      <c r="BW4" s="310">
        <v>211458</v>
      </c>
      <c r="BX4" s="311">
        <v>188897</v>
      </c>
      <c r="BY4" s="312"/>
      <c r="BZ4" s="310">
        <v>33912</v>
      </c>
      <c r="CA4" s="311">
        <v>63753</v>
      </c>
      <c r="CB4" s="312"/>
      <c r="CC4" s="311">
        <v>177546</v>
      </c>
      <c r="CD4" s="311">
        <v>125144</v>
      </c>
      <c r="CE4" s="306"/>
      <c r="CF4" s="311">
        <v>31301</v>
      </c>
      <c r="CG4" s="311">
        <v>42876</v>
      </c>
      <c r="CH4" s="306"/>
      <c r="CI4" s="311">
        <v>146245</v>
      </c>
      <c r="CJ4" s="311">
        <v>82268</v>
      </c>
      <c r="CK4" s="306"/>
      <c r="CL4" s="311">
        <v>86032</v>
      </c>
      <c r="CM4" s="311">
        <v>38079</v>
      </c>
      <c r="CN4" s="306"/>
      <c r="CO4" s="311">
        <v>60213</v>
      </c>
      <c r="CP4" s="311">
        <v>44189</v>
      </c>
      <c r="CQ4" s="306"/>
      <c r="CR4" s="313" t="s">
        <v>21</v>
      </c>
      <c r="CS4" s="311">
        <v>188897</v>
      </c>
      <c r="CT4" s="311">
        <v>256524</v>
      </c>
      <c r="CU4" s="306"/>
      <c r="CV4" s="311">
        <v>125144</v>
      </c>
      <c r="CW4" s="311">
        <v>173182</v>
      </c>
      <c r="CX4" s="306"/>
      <c r="CY4" s="311">
        <v>82268</v>
      </c>
      <c r="CZ4" s="311">
        <v>115854</v>
      </c>
      <c r="DA4" s="306"/>
      <c r="DB4" s="314">
        <v>256524</v>
      </c>
      <c r="DC4" s="314">
        <v>167268</v>
      </c>
      <c r="DD4" s="306"/>
      <c r="DE4" s="306"/>
      <c r="DF4" s="306"/>
      <c r="DG4" s="306"/>
      <c r="DH4" s="306"/>
      <c r="DI4" s="306"/>
      <c r="DJ4" s="306"/>
      <c r="DK4" s="306"/>
      <c r="DL4" s="306"/>
      <c r="DM4" s="306"/>
      <c r="DN4" s="306"/>
      <c r="DO4" s="306"/>
      <c r="DP4" s="306"/>
      <c r="DQ4" s="306"/>
      <c r="DR4" s="306"/>
      <c r="DS4" s="306"/>
      <c r="DT4" s="306"/>
      <c r="DU4" s="306"/>
      <c r="DV4" s="306"/>
      <c r="DW4" s="306"/>
      <c r="DX4" s="306"/>
      <c r="DY4" s="306"/>
      <c r="DZ4" s="306"/>
      <c r="EA4" s="306"/>
      <c r="EB4" s="306"/>
      <c r="EC4" s="306"/>
      <c r="ED4" s="306"/>
      <c r="EE4" s="306"/>
      <c r="EF4" s="306"/>
      <c r="EG4" s="306"/>
      <c r="EH4" s="306"/>
      <c r="EI4" s="306"/>
      <c r="EJ4" s="306"/>
      <c r="EK4" s="306"/>
      <c r="EL4" s="306"/>
      <c r="EM4" s="306"/>
      <c r="EN4" s="306"/>
      <c r="EO4" s="306"/>
      <c r="EP4" s="306"/>
      <c r="EQ4" s="306"/>
      <c r="ER4" s="306"/>
      <c r="ES4" s="306"/>
      <c r="ET4" s="306"/>
      <c r="EU4" s="306"/>
      <c r="EV4" s="306"/>
      <c r="EW4" s="306"/>
      <c r="EX4" s="306"/>
      <c r="EY4" s="306"/>
      <c r="EZ4" s="306"/>
      <c r="FA4" s="306"/>
      <c r="FB4" s="306"/>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row>
    <row r="5" spans="1:189">
      <c r="A5" s="78" t="s">
        <v>171</v>
      </c>
      <c r="B5" s="78"/>
      <c r="C5" s="597">
        <v>500622</v>
      </c>
      <c r="D5" s="305">
        <v>569523</v>
      </c>
      <c r="E5" s="78"/>
      <c r="F5" s="597">
        <v>264684</v>
      </c>
      <c r="G5" s="305">
        <v>326612</v>
      </c>
      <c r="H5" s="78"/>
      <c r="I5" s="604">
        <v>235938</v>
      </c>
      <c r="J5" s="305">
        <v>242911</v>
      </c>
      <c r="K5" s="312"/>
      <c r="L5" s="604">
        <f>'[2]1_1 '!$C$35</f>
        <v>1299817</v>
      </c>
      <c r="M5" s="291">
        <f>'[2]1_1 '!$C$72</f>
        <v>1516492</v>
      </c>
      <c r="N5" s="633"/>
      <c r="O5" s="604">
        <f t="shared" si="0"/>
        <v>390431</v>
      </c>
      <c r="P5" s="291">
        <f t="shared" si="0"/>
        <v>393676</v>
      </c>
      <c r="Q5" s="633"/>
      <c r="R5" s="604">
        <v>909386</v>
      </c>
      <c r="S5" s="291">
        <v>1122816</v>
      </c>
      <c r="T5" s="633"/>
      <c r="U5" s="604">
        <v>339863</v>
      </c>
      <c r="V5" s="291">
        <v>308899</v>
      </c>
      <c r="W5" s="633"/>
      <c r="X5" s="315">
        <v>569523</v>
      </c>
      <c r="Y5" s="305">
        <v>813917</v>
      </c>
      <c r="Z5" s="312"/>
      <c r="AA5" s="315">
        <v>326612</v>
      </c>
      <c r="AB5" s="305">
        <v>479224</v>
      </c>
      <c r="AC5" s="312"/>
      <c r="AD5" s="315">
        <v>242911</v>
      </c>
      <c r="AE5" s="305">
        <v>334693</v>
      </c>
      <c r="AF5" s="312"/>
      <c r="AG5" s="315">
        <v>1516492</v>
      </c>
      <c r="AH5" s="305">
        <v>1661215</v>
      </c>
      <c r="AI5" s="78"/>
      <c r="AJ5" s="315">
        <v>393676</v>
      </c>
      <c r="AK5" s="305">
        <v>550921</v>
      </c>
      <c r="AL5" s="312"/>
      <c r="AM5" s="315">
        <v>1122816</v>
      </c>
      <c r="AN5" s="305">
        <v>1110294</v>
      </c>
      <c r="AO5" s="312"/>
      <c r="AP5" s="315">
        <v>308899</v>
      </c>
      <c r="AQ5" s="305">
        <v>510474</v>
      </c>
      <c r="AR5" s="312"/>
      <c r="AS5" s="315">
        <v>813917</v>
      </c>
      <c r="AT5" s="305">
        <v>599820</v>
      </c>
      <c r="AU5" s="312"/>
      <c r="AV5" s="315">
        <v>479224</v>
      </c>
      <c r="AW5" s="305">
        <v>343886</v>
      </c>
      <c r="AX5" s="312"/>
      <c r="AY5" s="315">
        <v>334693</v>
      </c>
      <c r="AZ5" s="305">
        <v>255934</v>
      </c>
      <c r="BA5" s="312"/>
      <c r="BB5" s="315">
        <v>1661215</v>
      </c>
      <c r="BC5" s="305">
        <v>1934229</v>
      </c>
      <c r="BD5" s="312"/>
      <c r="BE5" s="315">
        <v>550921</v>
      </c>
      <c r="BF5" s="305">
        <v>525579</v>
      </c>
      <c r="BG5" s="312"/>
      <c r="BH5" s="315">
        <v>1110294</v>
      </c>
      <c r="BI5" s="305">
        <v>1408650</v>
      </c>
      <c r="BJ5" s="312"/>
      <c r="BK5" s="315">
        <v>510474</v>
      </c>
      <c r="BL5" s="305">
        <v>523081</v>
      </c>
      <c r="BM5" s="312"/>
      <c r="BN5" s="315">
        <v>599820</v>
      </c>
      <c r="BO5" s="305">
        <v>885569</v>
      </c>
      <c r="BP5" s="312"/>
      <c r="BQ5" s="315">
        <v>343886</v>
      </c>
      <c r="BR5" s="305">
        <v>462379</v>
      </c>
      <c r="BS5" s="312"/>
      <c r="BT5" s="315">
        <v>255934</v>
      </c>
      <c r="BU5" s="305">
        <v>423190</v>
      </c>
      <c r="BV5" s="312"/>
      <c r="BW5" s="315">
        <v>1934229</v>
      </c>
      <c r="BX5" s="305">
        <v>855029</v>
      </c>
      <c r="BY5" s="312"/>
      <c r="BZ5" s="315">
        <v>525579</v>
      </c>
      <c r="CA5" s="305">
        <v>314945</v>
      </c>
      <c r="CB5" s="312"/>
      <c r="CC5" s="305">
        <v>1408650</v>
      </c>
      <c r="CD5" s="305">
        <v>540084</v>
      </c>
      <c r="CE5" s="306"/>
      <c r="CF5" s="305">
        <v>523081</v>
      </c>
      <c r="CG5" s="305">
        <v>257781</v>
      </c>
      <c r="CH5" s="306"/>
      <c r="CI5" s="305">
        <v>885569</v>
      </c>
      <c r="CJ5" s="305">
        <v>282303</v>
      </c>
      <c r="CK5" s="306"/>
      <c r="CL5" s="305">
        <v>462379</v>
      </c>
      <c r="CM5" s="305">
        <v>155138</v>
      </c>
      <c r="CN5" s="306"/>
      <c r="CO5" s="305">
        <v>423190</v>
      </c>
      <c r="CP5" s="305">
        <v>127165</v>
      </c>
      <c r="CQ5" s="306"/>
      <c r="CR5" s="312" t="s">
        <v>22</v>
      </c>
      <c r="CS5" s="305">
        <v>403503</v>
      </c>
      <c r="CT5" s="305">
        <v>520926</v>
      </c>
      <c r="CU5" s="306"/>
      <c r="CV5" s="305">
        <v>234821</v>
      </c>
      <c r="CW5" s="305">
        <v>402703</v>
      </c>
      <c r="CX5" s="306"/>
      <c r="CY5" s="305">
        <v>126211</v>
      </c>
      <c r="CZ5" s="305">
        <v>274748</v>
      </c>
      <c r="DA5" s="306"/>
      <c r="DB5" s="316">
        <v>520926</v>
      </c>
      <c r="DC5" s="316">
        <v>857153</v>
      </c>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row>
    <row r="6" spans="1:189">
      <c r="A6" s="78" t="s">
        <v>174</v>
      </c>
      <c r="B6" s="78"/>
      <c r="C6" s="597">
        <v>862672</v>
      </c>
      <c r="D6" s="305">
        <v>773160</v>
      </c>
      <c r="E6" s="78"/>
      <c r="F6" s="597">
        <v>511909</v>
      </c>
      <c r="G6" s="305">
        <v>504015</v>
      </c>
      <c r="H6" s="78"/>
      <c r="I6" s="604">
        <v>350763</v>
      </c>
      <c r="J6" s="305">
        <v>269145</v>
      </c>
      <c r="K6" s="312"/>
      <c r="L6" s="604">
        <f>'[2]1_1 '!$D$35</f>
        <v>2044029</v>
      </c>
      <c r="M6" s="291">
        <f>'[2]1_1 '!$D$72</f>
        <v>1693016</v>
      </c>
      <c r="N6" s="633"/>
      <c r="O6" s="604">
        <f t="shared" si="0"/>
        <v>835089</v>
      </c>
      <c r="P6" s="291">
        <f t="shared" si="0"/>
        <v>720476</v>
      </c>
      <c r="Q6" s="633"/>
      <c r="R6" s="604">
        <v>1208940</v>
      </c>
      <c r="S6" s="291">
        <v>972540</v>
      </c>
      <c r="T6" s="633"/>
      <c r="U6" s="604">
        <v>415462</v>
      </c>
      <c r="V6" s="291">
        <v>367910</v>
      </c>
      <c r="W6" s="633"/>
      <c r="X6" s="315">
        <v>793478</v>
      </c>
      <c r="Y6" s="305">
        <v>604630</v>
      </c>
      <c r="Z6" s="312"/>
      <c r="AA6" s="315">
        <v>519997</v>
      </c>
      <c r="AB6" s="305">
        <v>342543</v>
      </c>
      <c r="AC6" s="312"/>
      <c r="AD6" s="315">
        <v>273481</v>
      </c>
      <c r="AE6" s="305">
        <v>262087</v>
      </c>
      <c r="AF6" s="312"/>
      <c r="AG6" s="315">
        <v>1693016</v>
      </c>
      <c r="AH6" s="305">
        <v>1806054</v>
      </c>
      <c r="AI6" s="78"/>
      <c r="AJ6" s="315">
        <v>720476</v>
      </c>
      <c r="AK6" s="305">
        <v>634676</v>
      </c>
      <c r="AL6" s="312"/>
      <c r="AM6" s="315">
        <v>972540</v>
      </c>
      <c r="AN6" s="305">
        <v>1171378</v>
      </c>
      <c r="AO6" s="312"/>
      <c r="AP6" s="315">
        <v>367910</v>
      </c>
      <c r="AQ6" s="305">
        <v>427039</v>
      </c>
      <c r="AR6" s="312"/>
      <c r="AS6" s="315">
        <v>604630</v>
      </c>
      <c r="AT6" s="305">
        <v>744339</v>
      </c>
      <c r="AU6" s="312"/>
      <c r="AV6" s="315">
        <v>342543</v>
      </c>
      <c r="AW6" s="305">
        <v>416024</v>
      </c>
      <c r="AX6" s="312"/>
      <c r="AY6" s="315">
        <v>262087</v>
      </c>
      <c r="AZ6" s="305">
        <v>328315</v>
      </c>
      <c r="BA6" s="312"/>
      <c r="BB6" s="315">
        <v>1806054</v>
      </c>
      <c r="BC6" s="305">
        <v>1924886</v>
      </c>
      <c r="BD6" s="312"/>
      <c r="BE6" s="315">
        <v>634676</v>
      </c>
      <c r="BF6" s="305">
        <v>791335</v>
      </c>
      <c r="BG6" s="312"/>
      <c r="BH6" s="315">
        <v>1171378</v>
      </c>
      <c r="BI6" s="305">
        <v>1133551</v>
      </c>
      <c r="BJ6" s="312"/>
      <c r="BK6" s="315">
        <v>427039</v>
      </c>
      <c r="BL6" s="305">
        <v>437305</v>
      </c>
      <c r="BM6" s="312"/>
      <c r="BN6" s="315">
        <v>744339</v>
      </c>
      <c r="BO6" s="305">
        <v>696246</v>
      </c>
      <c r="BP6" s="312"/>
      <c r="BQ6" s="315">
        <v>416024</v>
      </c>
      <c r="BR6" s="305">
        <v>410845</v>
      </c>
      <c r="BS6" s="312"/>
      <c r="BT6" s="315">
        <v>328315</v>
      </c>
      <c r="BU6" s="305">
        <v>285401</v>
      </c>
      <c r="BV6" s="312"/>
      <c r="BW6" s="315">
        <v>1924886</v>
      </c>
      <c r="BX6" s="305">
        <v>1934781</v>
      </c>
      <c r="BY6" s="312"/>
      <c r="BZ6" s="315">
        <v>791335</v>
      </c>
      <c r="CA6" s="305">
        <v>648958</v>
      </c>
      <c r="CB6" s="312"/>
      <c r="CC6" s="305">
        <v>1133551</v>
      </c>
      <c r="CD6" s="305">
        <v>1285823</v>
      </c>
      <c r="CE6" s="306"/>
      <c r="CF6" s="305">
        <v>437305</v>
      </c>
      <c r="CG6" s="305">
        <v>444335</v>
      </c>
      <c r="CH6" s="306"/>
      <c r="CI6" s="305">
        <v>696246</v>
      </c>
      <c r="CJ6" s="305">
        <v>841488</v>
      </c>
      <c r="CK6" s="306"/>
      <c r="CL6" s="305">
        <v>410845</v>
      </c>
      <c r="CM6" s="305">
        <v>461646</v>
      </c>
      <c r="CN6" s="306"/>
      <c r="CO6" s="305">
        <v>285401</v>
      </c>
      <c r="CP6" s="305">
        <v>379842</v>
      </c>
      <c r="CQ6" s="306"/>
      <c r="CR6" s="312" t="s">
        <v>24</v>
      </c>
      <c r="CS6" s="305">
        <v>115951</v>
      </c>
      <c r="CT6" s="305">
        <v>606915</v>
      </c>
      <c r="CU6" s="306"/>
      <c r="CV6" s="305">
        <v>79784</v>
      </c>
      <c r="CW6" s="305">
        <v>438534</v>
      </c>
      <c r="CX6" s="306"/>
      <c r="CY6" s="305">
        <v>57697</v>
      </c>
      <c r="CZ6" s="305">
        <v>247822</v>
      </c>
      <c r="DA6" s="306"/>
      <c r="DB6" s="316">
        <v>606915</v>
      </c>
      <c r="DC6" s="316">
        <v>340396</v>
      </c>
      <c r="DD6" s="306"/>
      <c r="DE6" s="306"/>
      <c r="DF6" s="306"/>
      <c r="DG6" s="306"/>
      <c r="DH6" s="306"/>
      <c r="DI6" s="306"/>
      <c r="DJ6" s="306"/>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row>
    <row r="7" spans="1:189" ht="15.75">
      <c r="A7" s="78" t="s">
        <v>175</v>
      </c>
      <c r="B7" s="78"/>
      <c r="C7" s="597">
        <v>10250</v>
      </c>
      <c r="D7" s="305">
        <v>24620</v>
      </c>
      <c r="E7" s="78"/>
      <c r="F7" s="597">
        <v>5855</v>
      </c>
      <c r="G7" s="305">
        <v>20115</v>
      </c>
      <c r="H7" s="78"/>
      <c r="I7" s="604">
        <v>4395</v>
      </c>
      <c r="J7" s="305">
        <v>4505</v>
      </c>
      <c r="K7" s="312"/>
      <c r="L7" s="604">
        <f>'[2]1_1 '!$E$35</f>
        <v>7425</v>
      </c>
      <c r="M7" s="291">
        <f>'[2]1_1 '!$E$72</f>
        <v>751</v>
      </c>
      <c r="N7" s="633"/>
      <c r="O7" s="604">
        <f t="shared" si="0"/>
        <v>1410</v>
      </c>
      <c r="P7" s="291">
        <f t="shared" si="0"/>
        <v>163</v>
      </c>
      <c r="Q7" s="633"/>
      <c r="R7" s="604">
        <v>6015</v>
      </c>
      <c r="S7" s="291">
        <v>588</v>
      </c>
      <c r="T7" s="633"/>
      <c r="U7" s="604">
        <v>1713</v>
      </c>
      <c r="V7" s="291">
        <v>6</v>
      </c>
      <c r="W7" s="633"/>
      <c r="X7" s="315">
        <v>4302</v>
      </c>
      <c r="Y7" s="305">
        <v>582</v>
      </c>
      <c r="Z7" s="312"/>
      <c r="AA7" s="315">
        <v>4133</v>
      </c>
      <c r="AB7" s="305">
        <v>333</v>
      </c>
      <c r="AC7" s="312"/>
      <c r="AD7" s="315">
        <v>169</v>
      </c>
      <c r="AE7" s="305">
        <v>249</v>
      </c>
      <c r="AF7" s="312"/>
      <c r="AG7" s="315">
        <v>751</v>
      </c>
      <c r="AH7" s="305">
        <v>1452</v>
      </c>
      <c r="AI7" s="78"/>
      <c r="AJ7" s="315">
        <v>163</v>
      </c>
      <c r="AK7" s="305">
        <v>288</v>
      </c>
      <c r="AL7" s="312"/>
      <c r="AM7" s="315">
        <v>588</v>
      </c>
      <c r="AN7" s="305">
        <v>1164</v>
      </c>
      <c r="AO7" s="312"/>
      <c r="AP7" s="315">
        <v>6</v>
      </c>
      <c r="AQ7" s="305">
        <v>407</v>
      </c>
      <c r="AR7" s="312"/>
      <c r="AS7" s="315">
        <v>582</v>
      </c>
      <c r="AT7" s="305">
        <v>757</v>
      </c>
      <c r="AU7" s="312"/>
      <c r="AV7" s="315">
        <v>333</v>
      </c>
      <c r="AW7" s="305">
        <v>78</v>
      </c>
      <c r="AX7" s="312"/>
      <c r="AY7" s="315">
        <v>249</v>
      </c>
      <c r="AZ7" s="305">
        <v>679</v>
      </c>
      <c r="BA7" s="312"/>
      <c r="BB7" s="315">
        <v>1452</v>
      </c>
      <c r="BC7" s="305">
        <v>4604</v>
      </c>
      <c r="BD7" s="312"/>
      <c r="BE7" s="315">
        <v>288</v>
      </c>
      <c r="BF7" s="305">
        <v>1407</v>
      </c>
      <c r="BG7" s="312"/>
      <c r="BH7" s="315">
        <v>1164</v>
      </c>
      <c r="BI7" s="305">
        <v>3197</v>
      </c>
      <c r="BJ7" s="312"/>
      <c r="BK7" s="315">
        <v>407</v>
      </c>
      <c r="BL7" s="305">
        <v>666</v>
      </c>
      <c r="BM7" s="312"/>
      <c r="BN7" s="315">
        <v>757</v>
      </c>
      <c r="BO7" s="305">
        <v>2531</v>
      </c>
      <c r="BP7" s="312"/>
      <c r="BQ7" s="315">
        <v>78</v>
      </c>
      <c r="BR7" s="305">
        <v>893</v>
      </c>
      <c r="BS7" s="312"/>
      <c r="BT7" s="315">
        <v>679</v>
      </c>
      <c r="BU7" s="305">
        <v>1638</v>
      </c>
      <c r="BV7" s="312"/>
      <c r="BW7" s="315">
        <v>4604</v>
      </c>
      <c r="BX7" s="305">
        <v>5928</v>
      </c>
      <c r="BY7" s="312"/>
      <c r="BZ7" s="315">
        <v>1407</v>
      </c>
      <c r="CA7" s="305">
        <v>3719</v>
      </c>
      <c r="CB7" s="312"/>
      <c r="CC7" s="305">
        <v>3197</v>
      </c>
      <c r="CD7" s="305">
        <v>2209</v>
      </c>
      <c r="CE7" s="306"/>
      <c r="CF7" s="305">
        <v>666</v>
      </c>
      <c r="CG7" s="305">
        <v>1408</v>
      </c>
      <c r="CH7" s="306"/>
      <c r="CI7" s="305">
        <v>2531</v>
      </c>
      <c r="CJ7" s="305">
        <v>801</v>
      </c>
      <c r="CK7" s="306"/>
      <c r="CL7" s="305">
        <v>893</v>
      </c>
      <c r="CM7" s="305">
        <v>689</v>
      </c>
      <c r="CN7" s="306"/>
      <c r="CO7" s="305">
        <v>1638</v>
      </c>
      <c r="CP7" s="305">
        <v>112</v>
      </c>
      <c r="CQ7" s="306"/>
      <c r="CR7" s="317" t="s">
        <v>26</v>
      </c>
      <c r="CS7" s="305">
        <v>335575</v>
      </c>
      <c r="CT7" s="305">
        <v>202252</v>
      </c>
      <c r="CU7" s="306"/>
      <c r="CV7" s="305">
        <v>225479</v>
      </c>
      <c r="CW7" s="305">
        <v>116342</v>
      </c>
      <c r="CX7" s="306"/>
      <c r="CY7" s="305">
        <v>98395</v>
      </c>
      <c r="CZ7" s="305">
        <v>50183</v>
      </c>
      <c r="DA7" s="306"/>
      <c r="DB7" s="316">
        <v>202252</v>
      </c>
      <c r="DC7" s="316">
        <v>221763</v>
      </c>
      <c r="DD7" s="306"/>
      <c r="DE7" s="306"/>
      <c r="DF7" s="306"/>
      <c r="DG7" s="306"/>
      <c r="DH7" s="306"/>
      <c r="DI7" s="306"/>
      <c r="DJ7" s="306"/>
      <c r="DK7" s="306"/>
      <c r="DL7" s="306"/>
      <c r="DM7" s="306"/>
      <c r="DN7" s="306"/>
      <c r="DO7" s="306"/>
      <c r="DP7" s="306"/>
      <c r="DQ7" s="306"/>
      <c r="DR7" s="306"/>
      <c r="DS7" s="306"/>
      <c r="DT7" s="306"/>
      <c r="DU7" s="306"/>
      <c r="DV7" s="306"/>
      <c r="DW7" s="306"/>
      <c r="DX7" s="306"/>
      <c r="DY7" s="306"/>
      <c r="DZ7" s="306"/>
      <c r="EA7" s="306"/>
      <c r="EB7" s="306"/>
      <c r="EC7" s="306"/>
      <c r="ED7" s="306"/>
      <c r="EE7" s="306"/>
      <c r="EF7" s="306"/>
      <c r="EG7" s="306"/>
      <c r="EH7" s="306"/>
      <c r="EI7" s="306"/>
      <c r="EJ7" s="306"/>
      <c r="EK7" s="306"/>
      <c r="EL7" s="306"/>
      <c r="EM7" s="306"/>
      <c r="EN7" s="306"/>
      <c r="EO7" s="306"/>
      <c r="EP7" s="306"/>
      <c r="EQ7" s="306"/>
      <c r="ER7" s="306"/>
      <c r="ES7" s="306"/>
      <c r="ET7" s="306"/>
      <c r="EU7" s="306"/>
      <c r="EV7" s="306"/>
      <c r="EW7" s="306"/>
      <c r="EX7" s="306"/>
      <c r="EY7" s="306"/>
      <c r="EZ7" s="306"/>
      <c r="FA7" s="306"/>
      <c r="FB7" s="306"/>
      <c r="FC7" s="306"/>
      <c r="FD7" s="306"/>
      <c r="FE7" s="306"/>
      <c r="FF7" s="306"/>
      <c r="FG7" s="306"/>
      <c r="FH7" s="306"/>
      <c r="FI7" s="306"/>
      <c r="FJ7" s="306"/>
      <c r="FK7" s="306"/>
      <c r="FL7" s="306"/>
      <c r="FM7" s="306"/>
      <c r="FN7" s="306"/>
      <c r="FO7" s="306"/>
      <c r="FP7" s="306"/>
      <c r="FQ7" s="306"/>
      <c r="FR7" s="306"/>
      <c r="FS7" s="306"/>
      <c r="FT7" s="306"/>
      <c r="FU7" s="306"/>
      <c r="FV7" s="306"/>
      <c r="FW7" s="306"/>
      <c r="FX7" s="306"/>
      <c r="FY7" s="306"/>
      <c r="FZ7" s="306"/>
      <c r="GA7" s="306"/>
      <c r="GB7" s="306"/>
      <c r="GC7" s="306"/>
      <c r="GD7" s="306"/>
      <c r="GE7" s="306"/>
      <c r="GF7" s="306"/>
      <c r="GG7" s="306"/>
    </row>
    <row r="8" spans="1:189">
      <c r="A8" s="32" t="s">
        <v>169</v>
      </c>
      <c r="B8" s="78"/>
      <c r="C8" s="638">
        <v>31827</v>
      </c>
      <c r="D8" s="319">
        <v>22186</v>
      </c>
      <c r="E8" s="78"/>
      <c r="F8" s="638">
        <v>15237</v>
      </c>
      <c r="G8" s="319">
        <v>9429</v>
      </c>
      <c r="H8" s="78"/>
      <c r="I8" s="634">
        <v>16590</v>
      </c>
      <c r="J8" s="319">
        <v>12757</v>
      </c>
      <c r="K8" s="312"/>
      <c r="L8" s="634">
        <f>'[2]1_1 '!$F$35</f>
        <v>73241</v>
      </c>
      <c r="M8" s="292">
        <f>'[2]1_1 '!$F$72</f>
        <v>97911</v>
      </c>
      <c r="N8" s="633"/>
      <c r="O8" s="634">
        <f t="shared" si="0"/>
        <v>33482</v>
      </c>
      <c r="P8" s="292">
        <f t="shared" si="0"/>
        <v>65281</v>
      </c>
      <c r="Q8" s="633"/>
      <c r="R8" s="634">
        <v>39759</v>
      </c>
      <c r="S8" s="292">
        <v>32630</v>
      </c>
      <c r="T8" s="633"/>
      <c r="U8" s="634">
        <v>17573</v>
      </c>
      <c r="V8" s="292">
        <v>12389</v>
      </c>
      <c r="W8" s="633"/>
      <c r="X8" s="318">
        <v>22186</v>
      </c>
      <c r="Y8" s="319">
        <v>20241</v>
      </c>
      <c r="Z8" s="312"/>
      <c r="AA8" s="318">
        <v>9429</v>
      </c>
      <c r="AB8" s="319">
        <v>10403</v>
      </c>
      <c r="AC8" s="312"/>
      <c r="AD8" s="318">
        <v>12757</v>
      </c>
      <c r="AE8" s="319">
        <v>9838</v>
      </c>
      <c r="AF8" s="312"/>
      <c r="AG8" s="318">
        <v>97911</v>
      </c>
      <c r="AH8" s="319">
        <v>64921</v>
      </c>
      <c r="AI8" s="78"/>
      <c r="AJ8" s="318">
        <v>65281</v>
      </c>
      <c r="AK8" s="319">
        <v>30284</v>
      </c>
      <c r="AL8" s="312"/>
      <c r="AM8" s="318">
        <v>32630</v>
      </c>
      <c r="AN8" s="319">
        <v>34637</v>
      </c>
      <c r="AO8" s="312"/>
      <c r="AP8" s="318">
        <v>12389</v>
      </c>
      <c r="AQ8" s="319">
        <v>18077</v>
      </c>
      <c r="AR8" s="312"/>
      <c r="AS8" s="318">
        <v>20241</v>
      </c>
      <c r="AT8" s="319">
        <v>16560</v>
      </c>
      <c r="AU8" s="312"/>
      <c r="AV8" s="318">
        <v>10403</v>
      </c>
      <c r="AW8" s="319">
        <v>11182</v>
      </c>
      <c r="AX8" s="312"/>
      <c r="AY8" s="318">
        <v>9838</v>
      </c>
      <c r="AZ8" s="319">
        <v>5378</v>
      </c>
      <c r="BA8" s="312"/>
      <c r="BB8" s="318">
        <v>64921</v>
      </c>
      <c r="BC8" s="319">
        <v>100293</v>
      </c>
      <c r="BD8" s="312"/>
      <c r="BE8" s="318">
        <v>30284</v>
      </c>
      <c r="BF8" s="319">
        <v>44365</v>
      </c>
      <c r="BG8" s="312"/>
      <c r="BH8" s="318">
        <v>34637</v>
      </c>
      <c r="BI8" s="319">
        <v>55928</v>
      </c>
      <c r="BJ8" s="312"/>
      <c r="BK8" s="318">
        <v>18077</v>
      </c>
      <c r="BL8" s="319">
        <v>15792</v>
      </c>
      <c r="BM8" s="312"/>
      <c r="BN8" s="318">
        <v>16560</v>
      </c>
      <c r="BO8" s="319">
        <v>40136</v>
      </c>
      <c r="BP8" s="312"/>
      <c r="BQ8" s="318">
        <v>11182</v>
      </c>
      <c r="BR8" s="319">
        <v>18900</v>
      </c>
      <c r="BS8" s="312"/>
      <c r="BT8" s="318">
        <v>5378</v>
      </c>
      <c r="BU8" s="319">
        <v>21236</v>
      </c>
      <c r="BV8" s="312"/>
      <c r="BW8" s="318">
        <v>100293</v>
      </c>
      <c r="BX8" s="319">
        <v>104957</v>
      </c>
      <c r="BY8" s="312"/>
      <c r="BZ8" s="318">
        <v>44365</v>
      </c>
      <c r="CA8" s="319">
        <v>48013</v>
      </c>
      <c r="CB8" s="312"/>
      <c r="CC8" s="319">
        <v>55928</v>
      </c>
      <c r="CD8" s="319">
        <v>56944</v>
      </c>
      <c r="CE8" s="306"/>
      <c r="CF8" s="319">
        <v>15792</v>
      </c>
      <c r="CG8" s="319">
        <v>13727</v>
      </c>
      <c r="CH8" s="306"/>
      <c r="CI8" s="319">
        <v>40136</v>
      </c>
      <c r="CJ8" s="319">
        <v>43217</v>
      </c>
      <c r="CK8" s="306"/>
      <c r="CL8" s="319">
        <v>18900</v>
      </c>
      <c r="CM8" s="319">
        <v>29215</v>
      </c>
      <c r="CN8" s="306"/>
      <c r="CO8" s="319">
        <v>21236</v>
      </c>
      <c r="CP8" s="319">
        <v>14002</v>
      </c>
      <c r="CQ8" s="306"/>
      <c r="CR8" s="312" t="s">
        <v>23</v>
      </c>
      <c r="CS8" s="305">
        <v>1934781</v>
      </c>
      <c r="CT8" s="305">
        <v>2080675</v>
      </c>
      <c r="CU8" s="306"/>
      <c r="CV8" s="305">
        <v>1285823</v>
      </c>
      <c r="CW8" s="305">
        <v>1191798</v>
      </c>
      <c r="CX8" s="306"/>
      <c r="CY8" s="305">
        <v>841488</v>
      </c>
      <c r="CZ8" s="305">
        <v>633812</v>
      </c>
      <c r="DA8" s="306"/>
      <c r="DB8" s="316">
        <v>2080675</v>
      </c>
      <c r="DC8" s="316">
        <v>1785779</v>
      </c>
      <c r="DD8" s="306"/>
      <c r="DE8" s="306"/>
      <c r="DF8" s="306"/>
      <c r="DG8" s="306"/>
      <c r="DH8" s="306"/>
      <c r="DI8" s="306"/>
      <c r="DJ8" s="306"/>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row>
    <row r="9" spans="1:189">
      <c r="A9" s="79" t="s">
        <v>479</v>
      </c>
      <c r="C9" s="597">
        <f>SUM(C4:C8)</f>
        <v>1642101</v>
      </c>
      <c r="D9" s="305">
        <f>SUM(D4:D8)</f>
        <v>1560499</v>
      </c>
      <c r="F9" s="597">
        <f>SUM(F4:F8)</f>
        <v>915557</v>
      </c>
      <c r="G9" s="305">
        <f>SUM(G4:G8)</f>
        <v>954016</v>
      </c>
      <c r="I9" s="604">
        <f>SUM(I4:I8)</f>
        <v>726544</v>
      </c>
      <c r="J9" s="305">
        <f>SUM(J4:J8)</f>
        <v>606483</v>
      </c>
      <c r="L9" s="604">
        <f>SUM(L4:L8)</f>
        <v>3672005</v>
      </c>
      <c r="M9" s="291">
        <f>SUM(M4:M8)</f>
        <v>3474148</v>
      </c>
      <c r="O9" s="604">
        <f>SUM(O4:O8)</f>
        <v>1347284</v>
      </c>
      <c r="P9" s="291">
        <f>SUM(P4:P8)</f>
        <v>1256787</v>
      </c>
      <c r="R9" s="604">
        <f>SUM(R4:R8)</f>
        <v>2324721</v>
      </c>
      <c r="S9" s="291">
        <f>SUM(S4:S8)</f>
        <v>2217361</v>
      </c>
      <c r="U9" s="604">
        <f>SUM(U4:U8)</f>
        <v>844391</v>
      </c>
      <c r="V9" s="291">
        <f>SUM(V4:V8)</f>
        <v>722119</v>
      </c>
      <c r="X9" s="315">
        <f>SUM(X4:X8)</f>
        <v>1480330</v>
      </c>
      <c r="Y9" s="305">
        <f>SUM(Y4:Y8)</f>
        <v>1495242</v>
      </c>
      <c r="AA9" s="315">
        <f>SUM(AA4:AA8)</f>
        <v>911630</v>
      </c>
      <c r="AB9" s="305">
        <f>SUM(AB4:AB8)</f>
        <v>859154</v>
      </c>
      <c r="AD9" s="315">
        <f>SUM(AD4:AD8)</f>
        <v>568700</v>
      </c>
      <c r="AE9" s="305">
        <f>SUM(AE4:AE8)</f>
        <v>636088</v>
      </c>
      <c r="AG9" s="315">
        <f>SUM(AG4:AG8)</f>
        <v>3474148</v>
      </c>
      <c r="AH9" s="305">
        <f>SUM(AH4:AH8)</f>
        <v>3816811</v>
      </c>
      <c r="AJ9" s="315">
        <f>SUM(AJ4:AJ8)</f>
        <v>1256787</v>
      </c>
      <c r="AK9" s="305">
        <f>SUM(AK4:AK8)</f>
        <v>1366994</v>
      </c>
      <c r="AL9" s="306"/>
      <c r="AM9" s="315">
        <f>SUM(AM4:AM8)</f>
        <v>2217361</v>
      </c>
      <c r="AN9" s="305">
        <f>SUM(AN4:AN8)</f>
        <v>2449817</v>
      </c>
      <c r="AO9" s="306"/>
      <c r="AP9" s="315">
        <f>SUM(AP4:AP8)</f>
        <v>722119</v>
      </c>
      <c r="AQ9" s="305">
        <f>SUM(AQ4:AQ8)</f>
        <v>997687</v>
      </c>
      <c r="AR9" s="306"/>
      <c r="AS9" s="315">
        <f>SUM(AS4:AS8)</f>
        <v>1495242</v>
      </c>
      <c r="AT9" s="305">
        <f>SUM(AT4:AT8)</f>
        <v>1452130</v>
      </c>
      <c r="AU9" s="306"/>
      <c r="AV9" s="315">
        <f>SUM(AV4:AV8)</f>
        <v>859154</v>
      </c>
      <c r="AW9" s="305">
        <f>SUM(AW4:AW8)</f>
        <v>798407</v>
      </c>
      <c r="AX9" s="306"/>
      <c r="AY9" s="315">
        <f>SUM(AY4:AY8)</f>
        <v>636088</v>
      </c>
      <c r="AZ9" s="305">
        <f>SUM(AZ4:AZ8)</f>
        <v>653723</v>
      </c>
      <c r="BA9" s="306"/>
      <c r="BB9" s="315">
        <f>SUM(BB4:BB8)</f>
        <v>3816811</v>
      </c>
      <c r="BC9" s="305">
        <f>SUM(BC4:BC8)</f>
        <v>4175470</v>
      </c>
      <c r="BD9" s="306"/>
      <c r="BE9" s="305">
        <f>SUM(BE4:BE8)</f>
        <v>1366994</v>
      </c>
      <c r="BF9" s="305">
        <f>SUM(BF4:BF8)</f>
        <v>1396598</v>
      </c>
      <c r="BG9" s="306"/>
      <c r="BH9" s="315">
        <f>SUM(BH4:BH8)</f>
        <v>2449817</v>
      </c>
      <c r="BI9" s="305">
        <f>SUM(BI4:BI8)</f>
        <v>2778872</v>
      </c>
      <c r="BJ9" s="306"/>
      <c r="BK9" s="305">
        <f>SUM(BK4:BK8)</f>
        <v>997687</v>
      </c>
      <c r="BL9" s="305">
        <f>SUM(BL4:BL8)</f>
        <v>1008145</v>
      </c>
      <c r="BM9" s="306"/>
      <c r="BN9" s="315">
        <f>SUM(BN4:BN8)</f>
        <v>1452130</v>
      </c>
      <c r="BO9" s="305">
        <f>SUM(BO4:BO8)</f>
        <v>1770727</v>
      </c>
      <c r="BP9" s="306"/>
      <c r="BQ9" s="305">
        <f>SUM(BQ4:BQ8)</f>
        <v>798407</v>
      </c>
      <c r="BR9" s="305">
        <f>SUM(BR4:BR8)</f>
        <v>979049</v>
      </c>
      <c r="BS9" s="306"/>
      <c r="BT9" s="315">
        <f>SUM(BT4:BT8)</f>
        <v>653723</v>
      </c>
      <c r="BU9" s="305">
        <f>SUM(BU4:BU8)</f>
        <v>791678</v>
      </c>
      <c r="BV9" s="306"/>
      <c r="BW9" s="315">
        <f>SUM(BW4:BW8)</f>
        <v>4175470</v>
      </c>
      <c r="BX9" s="305">
        <f>SUM(BX4:BX8)</f>
        <v>3089592</v>
      </c>
      <c r="BY9" s="306"/>
      <c r="BZ9" s="315">
        <f>SUM(BZ4:BZ8)</f>
        <v>1396598</v>
      </c>
      <c r="CA9" s="305">
        <f>SUM(CA4:CA8)</f>
        <v>1079388</v>
      </c>
      <c r="CB9" s="320"/>
      <c r="CC9" s="305">
        <f>SUM(CC4:CC8)</f>
        <v>2778872</v>
      </c>
      <c r="CD9" s="305">
        <f>SUM(CD4:CD8)</f>
        <v>2010204</v>
      </c>
      <c r="CE9" s="306"/>
      <c r="CF9" s="305">
        <f>SUM(CF4:CF8)</f>
        <v>1008145</v>
      </c>
      <c r="CG9" s="305">
        <f>SUM(CG4:CG8)</f>
        <v>760127</v>
      </c>
      <c r="CH9" s="306"/>
      <c r="CI9" s="305">
        <f>SUM(CI4:CI8)</f>
        <v>1770727</v>
      </c>
      <c r="CJ9" s="305">
        <f>SUM(CJ4:CJ8)</f>
        <v>1250077</v>
      </c>
      <c r="CK9" s="306"/>
      <c r="CL9" s="305">
        <f>SUM(CL4:CL8)</f>
        <v>979049</v>
      </c>
      <c r="CM9" s="305">
        <f>SUM(CM4:CM8)</f>
        <v>684767</v>
      </c>
      <c r="CN9" s="306"/>
      <c r="CO9" s="305">
        <f>SUM(CO4:CO8)</f>
        <v>791678</v>
      </c>
      <c r="CP9" s="305">
        <f>SUM(CP4:CP8)</f>
        <v>565310</v>
      </c>
      <c r="CQ9" s="306"/>
      <c r="CR9" s="312" t="s">
        <v>25</v>
      </c>
      <c r="CS9" s="305">
        <v>5928</v>
      </c>
      <c r="CT9" s="305">
        <v>21424</v>
      </c>
      <c r="CU9" s="306"/>
      <c r="CV9" s="305">
        <v>2209</v>
      </c>
      <c r="CW9" s="305">
        <v>15087</v>
      </c>
      <c r="CX9" s="306"/>
      <c r="CY9" s="305">
        <v>801</v>
      </c>
      <c r="CZ9" s="305">
        <v>11187</v>
      </c>
      <c r="DA9" s="306"/>
      <c r="DB9" s="316">
        <v>21424</v>
      </c>
      <c r="DC9" s="316">
        <v>62003</v>
      </c>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row>
    <row r="10" spans="1:189">
      <c r="AG10" s="321"/>
      <c r="AH10" s="306"/>
      <c r="AJ10" s="321"/>
      <c r="AK10" s="306"/>
      <c r="AL10" s="306"/>
      <c r="AM10" s="321"/>
      <c r="AN10" s="306"/>
      <c r="AO10" s="306"/>
      <c r="AP10" s="321"/>
      <c r="AQ10" s="306"/>
      <c r="AR10" s="306"/>
      <c r="AS10" s="321"/>
      <c r="AT10" s="306"/>
      <c r="AU10" s="306"/>
      <c r="AV10" s="321"/>
      <c r="AW10" s="306"/>
      <c r="AX10" s="306"/>
      <c r="AY10" s="321"/>
      <c r="AZ10" s="306"/>
      <c r="BA10" s="306"/>
      <c r="BB10" s="321"/>
      <c r="BC10" s="306"/>
      <c r="BD10" s="306"/>
      <c r="BE10" s="306"/>
      <c r="BF10" s="306"/>
      <c r="BG10" s="306"/>
      <c r="BH10" s="321"/>
      <c r="BI10" s="306"/>
      <c r="BJ10" s="306"/>
      <c r="BK10" s="306"/>
      <c r="BL10" s="306"/>
      <c r="BM10" s="306"/>
      <c r="BN10" s="321"/>
      <c r="BO10" s="306"/>
      <c r="BP10" s="306"/>
      <c r="BQ10" s="306"/>
      <c r="BR10" s="306"/>
      <c r="BS10" s="306"/>
      <c r="BT10" s="321"/>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12" t="s">
        <v>28</v>
      </c>
      <c r="CS10" s="305">
        <v>96346</v>
      </c>
      <c r="CT10" s="305">
        <v>82746</v>
      </c>
      <c r="CU10" s="306"/>
      <c r="CV10" s="305">
        <v>52364</v>
      </c>
      <c r="CW10" s="305">
        <v>25216</v>
      </c>
      <c r="CX10" s="306"/>
      <c r="CY10" s="305">
        <v>40240</v>
      </c>
      <c r="CZ10" s="305">
        <v>12650</v>
      </c>
      <c r="DA10" s="306"/>
      <c r="DB10" s="316">
        <v>82746</v>
      </c>
      <c r="DC10" s="316">
        <v>21554</v>
      </c>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row>
    <row r="11" spans="1:189">
      <c r="A11" s="78"/>
      <c r="B11" s="78"/>
      <c r="C11" s="597"/>
      <c r="D11" s="305"/>
      <c r="E11" s="78"/>
      <c r="F11" s="597"/>
      <c r="G11" s="305"/>
      <c r="H11" s="78"/>
      <c r="I11" s="597"/>
      <c r="J11" s="305"/>
      <c r="K11" s="312"/>
      <c r="L11" s="604"/>
      <c r="M11" s="291"/>
      <c r="N11" s="633"/>
      <c r="O11" s="604"/>
      <c r="P11" s="291"/>
      <c r="Q11" s="633"/>
      <c r="R11" s="604"/>
      <c r="S11" s="291"/>
      <c r="T11" s="633"/>
      <c r="U11" s="604"/>
      <c r="V11" s="291"/>
      <c r="W11" s="633"/>
      <c r="X11" s="315"/>
      <c r="Y11" s="305"/>
      <c r="Z11" s="312"/>
      <c r="AA11" s="315"/>
      <c r="AB11" s="305"/>
      <c r="AC11" s="312"/>
      <c r="AD11" s="315"/>
      <c r="AE11" s="305"/>
      <c r="AF11" s="312"/>
      <c r="AG11" s="315"/>
      <c r="AH11" s="305"/>
      <c r="AI11" s="78"/>
      <c r="AJ11" s="315"/>
      <c r="AK11" s="305"/>
      <c r="AL11" s="312"/>
      <c r="AM11" s="315"/>
      <c r="AN11" s="305"/>
      <c r="AO11" s="312"/>
      <c r="AP11" s="315"/>
      <c r="AQ11" s="305"/>
      <c r="AR11" s="312"/>
      <c r="AS11" s="315"/>
      <c r="AT11" s="305"/>
      <c r="AU11" s="312"/>
      <c r="AV11" s="315"/>
      <c r="AW11" s="305"/>
      <c r="AX11" s="312"/>
      <c r="AY11" s="315"/>
      <c r="AZ11" s="305"/>
      <c r="BA11" s="312"/>
      <c r="BB11" s="315"/>
      <c r="BC11" s="305"/>
      <c r="BD11" s="312"/>
      <c r="BE11" s="305"/>
      <c r="BF11" s="305"/>
      <c r="BG11" s="312"/>
      <c r="BH11" s="315"/>
      <c r="BI11" s="305"/>
      <c r="BJ11" s="312"/>
      <c r="BK11" s="305"/>
      <c r="BL11" s="305"/>
      <c r="BM11" s="312"/>
      <c r="BN11" s="315"/>
      <c r="BO11" s="305"/>
      <c r="BP11" s="312"/>
      <c r="BQ11" s="305"/>
      <c r="BR11" s="305"/>
      <c r="BS11" s="312"/>
      <c r="BT11" s="315"/>
      <c r="BU11" s="305"/>
      <c r="BV11" s="312"/>
      <c r="BW11" s="305"/>
      <c r="BX11" s="305"/>
      <c r="BY11" s="312"/>
      <c r="BZ11" s="305"/>
      <c r="CA11" s="305"/>
      <c r="CB11" s="312"/>
      <c r="CC11" s="305"/>
      <c r="CD11" s="305"/>
      <c r="CE11" s="306"/>
      <c r="CF11" s="305"/>
      <c r="CG11" s="305"/>
      <c r="CH11" s="306"/>
      <c r="CI11" s="305"/>
      <c r="CJ11" s="305"/>
      <c r="CK11" s="306"/>
      <c r="CL11" s="305"/>
      <c r="CM11" s="305"/>
      <c r="CN11" s="306"/>
      <c r="CO11" s="305"/>
      <c r="CP11" s="305"/>
      <c r="CQ11" s="306"/>
      <c r="CR11" s="322" t="s">
        <v>27</v>
      </c>
      <c r="CS11" s="319">
        <v>8611</v>
      </c>
      <c r="CT11" s="319">
        <v>8093</v>
      </c>
      <c r="CU11" s="306"/>
      <c r="CV11" s="319">
        <v>4580</v>
      </c>
      <c r="CW11" s="319">
        <v>5531</v>
      </c>
      <c r="CX11" s="306"/>
      <c r="CY11" s="319">
        <v>2977</v>
      </c>
      <c r="CZ11" s="319">
        <v>3686</v>
      </c>
      <c r="DA11" s="306"/>
      <c r="DB11" s="323">
        <v>8093</v>
      </c>
      <c r="DC11" s="323">
        <v>15588</v>
      </c>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row>
    <row r="12" spans="1:189">
      <c r="AG12" s="321"/>
      <c r="AH12" s="306"/>
      <c r="AJ12" s="321"/>
      <c r="AK12" s="306"/>
      <c r="AL12" s="306"/>
      <c r="AM12" s="321"/>
      <c r="AN12" s="306"/>
      <c r="AO12" s="306"/>
      <c r="AP12" s="321"/>
      <c r="AQ12" s="306"/>
      <c r="AR12" s="306"/>
      <c r="AS12" s="321"/>
      <c r="AT12" s="306"/>
      <c r="AU12" s="306"/>
      <c r="AV12" s="321"/>
      <c r="AW12" s="306"/>
      <c r="AX12" s="306"/>
      <c r="AY12" s="321"/>
      <c r="AZ12" s="306"/>
      <c r="BA12" s="306"/>
      <c r="BB12" s="321"/>
      <c r="BC12" s="306"/>
      <c r="BD12" s="306"/>
      <c r="BE12" s="306"/>
      <c r="BF12" s="306"/>
      <c r="BG12" s="306"/>
      <c r="BH12" s="321"/>
      <c r="BI12" s="306"/>
      <c r="BJ12" s="306"/>
      <c r="BK12" s="306"/>
      <c r="BL12" s="306"/>
      <c r="BM12" s="306"/>
      <c r="BN12" s="321"/>
      <c r="BO12" s="306"/>
      <c r="BP12" s="306"/>
      <c r="BQ12" s="306"/>
      <c r="BR12" s="306"/>
      <c r="BS12" s="306"/>
      <c r="BT12" s="321"/>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5">
        <f>SUM(CS4:CS11)</f>
        <v>3089592</v>
      </c>
      <c r="CT12" s="305">
        <f>SUM(CT4:CT11)</f>
        <v>3779555</v>
      </c>
      <c r="CU12" s="306"/>
      <c r="CV12" s="305">
        <f>SUM(CV4:CV11)</f>
        <v>2010204</v>
      </c>
      <c r="CW12" s="305">
        <f>SUM(CW4:CW11)</f>
        <v>2368393</v>
      </c>
      <c r="CX12" s="306"/>
      <c r="CY12" s="305">
        <f>SUM(CY4:CY11)</f>
        <v>1250077</v>
      </c>
      <c r="CZ12" s="305">
        <f>SUM(CZ4:CZ11)</f>
        <v>1349942</v>
      </c>
      <c r="DA12" s="306"/>
      <c r="DB12" s="305">
        <f>SUM(DB4:DB11)</f>
        <v>3779555</v>
      </c>
      <c r="DC12" s="305">
        <f>SUM(DC4:DC11)</f>
        <v>3471504</v>
      </c>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row>
    <row r="13" spans="1:189">
      <c r="AG13" s="321"/>
      <c r="AH13" s="306"/>
      <c r="AJ13" s="321"/>
      <c r="AK13" s="306"/>
      <c r="AL13" s="306"/>
      <c r="AM13" s="321"/>
      <c r="AN13" s="306"/>
      <c r="AO13" s="306"/>
      <c r="AP13" s="321"/>
      <c r="AQ13" s="306"/>
      <c r="AR13" s="306"/>
      <c r="AS13" s="321"/>
      <c r="AT13" s="306"/>
      <c r="AU13" s="306"/>
      <c r="AV13" s="321"/>
      <c r="AW13" s="306"/>
      <c r="AX13" s="306"/>
      <c r="AY13" s="321"/>
      <c r="AZ13" s="306"/>
      <c r="BA13" s="306"/>
      <c r="BB13" s="321"/>
      <c r="BC13" s="306"/>
      <c r="BD13" s="306"/>
      <c r="BE13" s="306"/>
      <c r="BF13" s="306"/>
      <c r="BG13" s="306"/>
      <c r="BH13" s="321"/>
      <c r="BI13" s="306"/>
      <c r="BJ13" s="306"/>
      <c r="BK13" s="306"/>
      <c r="BL13" s="306"/>
      <c r="BM13" s="306"/>
      <c r="BN13" s="321"/>
      <c r="BO13" s="306"/>
      <c r="BP13" s="306"/>
      <c r="BQ13" s="306"/>
      <c r="BR13" s="306"/>
      <c r="BS13" s="306"/>
      <c r="BT13" s="321"/>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row>
    <row r="14" spans="1:189">
      <c r="AG14" s="321"/>
      <c r="AH14" s="306"/>
      <c r="AJ14" s="321"/>
      <c r="AK14" s="306"/>
      <c r="AL14" s="306"/>
      <c r="AM14" s="321"/>
      <c r="AN14" s="306"/>
      <c r="AO14" s="306"/>
      <c r="AP14" s="321"/>
      <c r="AQ14" s="306"/>
      <c r="AR14" s="306"/>
      <c r="AS14" s="321"/>
      <c r="AT14" s="306"/>
      <c r="AU14" s="306"/>
      <c r="AV14" s="321"/>
      <c r="AW14" s="306"/>
      <c r="AX14" s="306"/>
      <c r="AY14" s="321"/>
      <c r="AZ14" s="306"/>
      <c r="BA14" s="306"/>
      <c r="BB14" s="321"/>
      <c r="BC14" s="306"/>
      <c r="BD14" s="306"/>
      <c r="BE14" s="306"/>
      <c r="BF14" s="306"/>
      <c r="BG14" s="306"/>
      <c r="BH14" s="321"/>
      <c r="BI14" s="306"/>
      <c r="BJ14" s="306"/>
      <c r="BK14" s="306"/>
      <c r="BL14" s="306"/>
      <c r="BM14" s="306"/>
      <c r="BN14" s="321"/>
      <c r="BO14" s="306"/>
      <c r="BP14" s="306"/>
      <c r="BQ14" s="306"/>
      <c r="BR14" s="306"/>
      <c r="BS14" s="306"/>
      <c r="BT14" s="321"/>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8" t="s">
        <v>477</v>
      </c>
      <c r="CS14" s="309" t="s">
        <v>395</v>
      </c>
      <c r="CT14" s="309" t="s">
        <v>396</v>
      </c>
      <c r="CU14" s="306"/>
      <c r="CV14" s="309" t="s">
        <v>397</v>
      </c>
      <c r="CW14" s="309" t="s">
        <v>398</v>
      </c>
      <c r="CX14" s="306"/>
      <c r="CY14" s="309" t="s">
        <v>399</v>
      </c>
      <c r="CZ14" s="309" t="s">
        <v>400</v>
      </c>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row>
    <row r="15" spans="1:189">
      <c r="AG15" s="321"/>
      <c r="AH15" s="306"/>
      <c r="AJ15" s="321"/>
      <c r="AK15" s="306"/>
      <c r="AL15" s="306"/>
      <c r="AM15" s="321"/>
      <c r="AN15" s="306"/>
      <c r="AO15" s="306"/>
      <c r="AP15" s="321"/>
      <c r="AQ15" s="306"/>
      <c r="AR15" s="306"/>
      <c r="AS15" s="321"/>
      <c r="AT15" s="306"/>
      <c r="AU15" s="306"/>
      <c r="AV15" s="321"/>
      <c r="AW15" s="306"/>
      <c r="AX15" s="306"/>
      <c r="AY15" s="321"/>
      <c r="AZ15" s="306"/>
      <c r="BA15" s="306"/>
      <c r="BB15" s="321"/>
      <c r="BC15" s="306"/>
      <c r="BD15" s="306"/>
      <c r="BE15" s="306"/>
      <c r="BF15" s="306"/>
      <c r="BG15" s="306"/>
      <c r="BH15" s="321"/>
      <c r="BI15" s="306"/>
      <c r="BJ15" s="306"/>
      <c r="BK15" s="306"/>
      <c r="BL15" s="306"/>
      <c r="BM15" s="306"/>
      <c r="BN15" s="321"/>
      <c r="BO15" s="306"/>
      <c r="BP15" s="306"/>
      <c r="BQ15" s="306"/>
      <c r="BR15" s="306"/>
      <c r="BS15" s="306"/>
      <c r="BT15" s="321"/>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6"/>
      <c r="CR15" s="313" t="s">
        <v>21</v>
      </c>
      <c r="CS15" s="311">
        <v>63753</v>
      </c>
      <c r="CT15" s="311">
        <v>83342</v>
      </c>
      <c r="CU15" s="306"/>
      <c r="CV15" s="311">
        <v>42876</v>
      </c>
      <c r="CW15" s="311">
        <v>57328</v>
      </c>
      <c r="CX15" s="306"/>
      <c r="CY15" s="311">
        <v>38079</v>
      </c>
      <c r="CZ15" s="311">
        <v>85570</v>
      </c>
      <c r="DA15" s="306"/>
      <c r="DB15" s="306"/>
      <c r="DC15" s="306"/>
      <c r="DD15" s="306"/>
      <c r="DE15" s="306"/>
      <c r="DF15" s="306"/>
      <c r="DG15" s="306"/>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row>
    <row r="16" spans="1:189">
      <c r="AG16" s="321"/>
      <c r="AH16" s="306"/>
      <c r="AJ16" s="321"/>
      <c r="AK16" s="306"/>
      <c r="AL16" s="306"/>
      <c r="AM16" s="321"/>
      <c r="AN16" s="306"/>
      <c r="AO16" s="306"/>
      <c r="AP16" s="321"/>
      <c r="AQ16" s="306"/>
      <c r="AR16" s="306"/>
      <c r="AS16" s="321"/>
      <c r="AT16" s="306"/>
      <c r="AU16" s="306"/>
      <c r="AV16" s="321"/>
      <c r="AW16" s="306"/>
      <c r="AX16" s="306"/>
      <c r="AY16" s="321"/>
      <c r="AZ16" s="306"/>
      <c r="BA16" s="306"/>
      <c r="BB16" s="321"/>
      <c r="BC16" s="306"/>
      <c r="BD16" s="306"/>
      <c r="BE16" s="306"/>
      <c r="BF16" s="306"/>
      <c r="BG16" s="306"/>
      <c r="BH16" s="321"/>
      <c r="BI16" s="306"/>
      <c r="BJ16" s="306"/>
      <c r="BK16" s="306"/>
      <c r="BL16" s="306"/>
      <c r="BM16" s="306"/>
      <c r="BN16" s="321"/>
      <c r="BO16" s="306"/>
      <c r="BP16" s="306"/>
      <c r="BQ16" s="306"/>
      <c r="BR16" s="306"/>
      <c r="BS16" s="306"/>
      <c r="BT16" s="321"/>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12" t="s">
        <v>22</v>
      </c>
      <c r="CS16" s="305">
        <v>168682</v>
      </c>
      <c r="CT16" s="305">
        <v>118223</v>
      </c>
      <c r="CU16" s="306"/>
      <c r="CV16" s="305">
        <v>108610</v>
      </c>
      <c r="CW16" s="305">
        <v>127955</v>
      </c>
      <c r="CX16" s="306"/>
      <c r="CY16" s="305">
        <v>80950</v>
      </c>
      <c r="CZ16" s="305">
        <v>163507</v>
      </c>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row>
    <row r="17" spans="33:189">
      <c r="AG17" s="321"/>
      <c r="AH17" s="306"/>
      <c r="AJ17" s="321"/>
      <c r="AK17" s="306"/>
      <c r="AL17" s="306"/>
      <c r="AM17" s="321"/>
      <c r="AN17" s="306"/>
      <c r="AO17" s="306"/>
      <c r="AP17" s="321"/>
      <c r="AQ17" s="306"/>
      <c r="AR17" s="306"/>
      <c r="AS17" s="321"/>
      <c r="AT17" s="306"/>
      <c r="AU17" s="306"/>
      <c r="AV17" s="321"/>
      <c r="AW17" s="306"/>
      <c r="AX17" s="306"/>
      <c r="AY17" s="321"/>
      <c r="AZ17" s="306"/>
      <c r="BA17" s="306"/>
      <c r="BB17" s="321"/>
      <c r="BC17" s="306"/>
      <c r="BD17" s="306"/>
      <c r="BE17" s="306"/>
      <c r="BF17" s="306"/>
      <c r="BG17" s="306"/>
      <c r="BH17" s="321"/>
      <c r="BI17" s="306"/>
      <c r="BJ17" s="306"/>
      <c r="BK17" s="306"/>
      <c r="BL17" s="306"/>
      <c r="BM17" s="306"/>
      <c r="BN17" s="321"/>
      <c r="BO17" s="306"/>
      <c r="BP17" s="306"/>
      <c r="BQ17" s="306"/>
      <c r="BR17" s="306"/>
      <c r="BS17" s="306"/>
      <c r="BT17" s="321"/>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12" t="s">
        <v>24</v>
      </c>
      <c r="CS17" s="305">
        <v>36167</v>
      </c>
      <c r="CT17" s="305">
        <v>168381</v>
      </c>
      <c r="CU17" s="306"/>
      <c r="CV17" s="305">
        <v>22087</v>
      </c>
      <c r="CW17" s="305">
        <v>190712</v>
      </c>
      <c r="CX17" s="306"/>
      <c r="CY17" s="305">
        <v>14859</v>
      </c>
      <c r="CZ17" s="305">
        <v>125306</v>
      </c>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row>
    <row r="18" spans="33:189" ht="15.75">
      <c r="AG18" s="321"/>
      <c r="AH18" s="306"/>
      <c r="AJ18" s="321"/>
      <c r="AK18" s="306"/>
      <c r="AL18" s="306"/>
      <c r="AM18" s="321"/>
      <c r="AN18" s="306"/>
      <c r="AO18" s="306"/>
      <c r="AP18" s="321"/>
      <c r="AQ18" s="306"/>
      <c r="AR18" s="306"/>
      <c r="AS18" s="321"/>
      <c r="AT18" s="306"/>
      <c r="AU18" s="306"/>
      <c r="AV18" s="321"/>
      <c r="AW18" s="306"/>
      <c r="AX18" s="306"/>
      <c r="AY18" s="321"/>
      <c r="AZ18" s="306"/>
      <c r="BA18" s="306"/>
      <c r="BB18" s="321"/>
      <c r="BC18" s="306"/>
      <c r="BD18" s="306"/>
      <c r="BE18" s="306"/>
      <c r="BF18" s="306"/>
      <c r="BG18" s="306"/>
      <c r="BH18" s="321"/>
      <c r="BI18" s="306"/>
      <c r="BJ18" s="306"/>
      <c r="BK18" s="306"/>
      <c r="BL18" s="306"/>
      <c r="BM18" s="306"/>
      <c r="BN18" s="321"/>
      <c r="BO18" s="306"/>
      <c r="BP18" s="306"/>
      <c r="BQ18" s="306"/>
      <c r="BR18" s="306"/>
      <c r="BS18" s="306"/>
      <c r="BT18" s="321"/>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17" t="s">
        <v>26</v>
      </c>
      <c r="CS18" s="305">
        <v>110096</v>
      </c>
      <c r="CT18" s="305">
        <v>85910</v>
      </c>
      <c r="CU18" s="306"/>
      <c r="CV18" s="305">
        <v>127084</v>
      </c>
      <c r="CW18" s="305">
        <v>66159</v>
      </c>
      <c r="CX18" s="306"/>
      <c r="CY18" s="305">
        <v>59329</v>
      </c>
      <c r="CZ18" s="305">
        <v>34264</v>
      </c>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06"/>
      <c r="FC18" s="306"/>
      <c r="FD18" s="306"/>
      <c r="FE18" s="306"/>
      <c r="FF18" s="306"/>
      <c r="FG18" s="306"/>
      <c r="FH18" s="306"/>
      <c r="FI18" s="306"/>
      <c r="FJ18" s="306"/>
      <c r="FK18" s="306"/>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row>
    <row r="19" spans="33:189">
      <c r="AG19" s="321"/>
      <c r="AH19" s="306"/>
      <c r="AJ19" s="321"/>
      <c r="AK19" s="306"/>
      <c r="AL19" s="306"/>
      <c r="AM19" s="321"/>
      <c r="AN19" s="306"/>
      <c r="AO19" s="306"/>
      <c r="AP19" s="321"/>
      <c r="AQ19" s="306"/>
      <c r="AR19" s="306"/>
      <c r="AS19" s="321"/>
      <c r="AT19" s="306"/>
      <c r="AU19" s="306"/>
      <c r="AV19" s="321"/>
      <c r="AW19" s="306"/>
      <c r="AX19" s="306"/>
      <c r="AY19" s="321"/>
      <c r="AZ19" s="306"/>
      <c r="BA19" s="306"/>
      <c r="BB19" s="321"/>
      <c r="BC19" s="306"/>
      <c r="BD19" s="306"/>
      <c r="BE19" s="306"/>
      <c r="BF19" s="306"/>
      <c r="BG19" s="306"/>
      <c r="BH19" s="321"/>
      <c r="BI19" s="306"/>
      <c r="BJ19" s="306"/>
      <c r="BK19" s="306"/>
      <c r="BL19" s="306"/>
      <c r="BM19" s="306"/>
      <c r="BN19" s="321"/>
      <c r="BO19" s="306"/>
      <c r="BP19" s="306"/>
      <c r="BQ19" s="306"/>
      <c r="BR19" s="306"/>
      <c r="BS19" s="306"/>
      <c r="BT19" s="321"/>
      <c r="BU19" s="306"/>
      <c r="BV19" s="306"/>
      <c r="BW19" s="306"/>
      <c r="BX19" s="306"/>
      <c r="BY19" s="306"/>
      <c r="BZ19" s="306"/>
      <c r="CA19" s="306"/>
      <c r="CB19" s="306"/>
      <c r="CC19" s="306"/>
      <c r="CD19" s="306"/>
      <c r="CE19" s="306"/>
      <c r="CF19" s="306"/>
      <c r="CG19" s="306"/>
      <c r="CH19" s="306"/>
      <c r="CI19" s="306"/>
      <c r="CJ19" s="306"/>
      <c r="CK19" s="306"/>
      <c r="CL19" s="306"/>
      <c r="CM19" s="306"/>
      <c r="CN19" s="306"/>
      <c r="CO19" s="306"/>
      <c r="CP19" s="306"/>
      <c r="CQ19" s="306"/>
      <c r="CR19" s="312" t="s">
        <v>23</v>
      </c>
      <c r="CS19" s="305">
        <v>648958</v>
      </c>
      <c r="CT19" s="305">
        <v>888877</v>
      </c>
      <c r="CU19" s="306"/>
      <c r="CV19" s="305">
        <v>444335</v>
      </c>
      <c r="CW19" s="305">
        <v>557986</v>
      </c>
      <c r="CX19" s="306"/>
      <c r="CY19" s="305">
        <v>461646</v>
      </c>
      <c r="CZ19" s="305">
        <v>387828</v>
      </c>
      <c r="DA19" s="306"/>
      <c r="DB19" s="306"/>
      <c r="DC19" s="306"/>
      <c r="DD19" s="306"/>
      <c r="DE19" s="306"/>
      <c r="DF19" s="306"/>
      <c r="DG19" s="306"/>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06"/>
      <c r="FC19" s="306"/>
      <c r="FD19" s="306"/>
      <c r="FE19" s="306"/>
      <c r="FF19" s="306"/>
      <c r="FG19" s="306"/>
      <c r="FH19" s="306"/>
      <c r="FI19" s="306"/>
      <c r="FJ19" s="306"/>
      <c r="FK19" s="306"/>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row>
    <row r="20" spans="33:189">
      <c r="AG20" s="321"/>
      <c r="AH20" s="306"/>
      <c r="AJ20" s="321"/>
      <c r="AK20" s="306"/>
      <c r="AL20" s="306"/>
      <c r="AM20" s="321"/>
      <c r="AN20" s="306"/>
      <c r="AO20" s="306"/>
      <c r="AP20" s="321"/>
      <c r="AQ20" s="306"/>
      <c r="AR20" s="306"/>
      <c r="AS20" s="321"/>
      <c r="AT20" s="306"/>
      <c r="AU20" s="306"/>
      <c r="AV20" s="321"/>
      <c r="AW20" s="306"/>
      <c r="AX20" s="306"/>
      <c r="AY20" s="321"/>
      <c r="AZ20" s="306"/>
      <c r="BA20" s="306"/>
      <c r="BB20" s="321"/>
      <c r="BC20" s="306"/>
      <c r="BD20" s="306"/>
      <c r="BE20" s="306"/>
      <c r="BF20" s="306"/>
      <c r="BG20" s="306"/>
      <c r="BH20" s="321"/>
      <c r="BI20" s="306"/>
      <c r="BJ20" s="306"/>
      <c r="BK20" s="306"/>
      <c r="BL20" s="306"/>
      <c r="BM20" s="306"/>
      <c r="BN20" s="321"/>
      <c r="BO20" s="306"/>
      <c r="BP20" s="306"/>
      <c r="BQ20" s="306"/>
      <c r="BR20" s="306"/>
      <c r="BS20" s="306"/>
      <c r="BT20" s="321"/>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12" t="s">
        <v>25</v>
      </c>
      <c r="CS20" s="305">
        <v>3719</v>
      </c>
      <c r="CT20" s="305">
        <v>6337</v>
      </c>
      <c r="CU20" s="306"/>
      <c r="CV20" s="305">
        <v>1408</v>
      </c>
      <c r="CW20" s="305">
        <v>3900</v>
      </c>
      <c r="CX20" s="306"/>
      <c r="CY20" s="305">
        <v>689</v>
      </c>
      <c r="CZ20" s="305">
        <v>5851</v>
      </c>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row>
    <row r="21" spans="33:189">
      <c r="AG21" s="321"/>
      <c r="AH21" s="306"/>
      <c r="AJ21" s="321"/>
      <c r="AK21" s="306"/>
      <c r="AL21" s="306"/>
      <c r="AM21" s="321"/>
      <c r="AN21" s="306"/>
      <c r="AO21" s="306"/>
      <c r="AP21" s="321"/>
      <c r="AQ21" s="306"/>
      <c r="AR21" s="306"/>
      <c r="AS21" s="321"/>
      <c r="AT21" s="306"/>
      <c r="AU21" s="306"/>
      <c r="AV21" s="321"/>
      <c r="AW21" s="306"/>
      <c r="AX21" s="306"/>
      <c r="AY21" s="321"/>
      <c r="AZ21" s="306"/>
      <c r="BA21" s="306"/>
      <c r="BB21" s="321"/>
      <c r="BC21" s="306"/>
      <c r="BD21" s="306"/>
      <c r="BE21" s="306"/>
      <c r="BF21" s="306"/>
      <c r="BG21" s="306"/>
      <c r="BH21" s="321"/>
      <c r="BI21" s="306"/>
      <c r="BJ21" s="306"/>
      <c r="BK21" s="306"/>
      <c r="BL21" s="306"/>
      <c r="BM21" s="306"/>
      <c r="BN21" s="321"/>
      <c r="BO21" s="306"/>
      <c r="BP21" s="306"/>
      <c r="BQ21" s="306"/>
      <c r="BR21" s="306"/>
      <c r="BS21" s="306"/>
      <c r="BT21" s="321"/>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c r="CQ21" s="306"/>
      <c r="CR21" s="312" t="s">
        <v>28</v>
      </c>
      <c r="CS21" s="305">
        <v>43982</v>
      </c>
      <c r="CT21" s="305">
        <v>57530</v>
      </c>
      <c r="CU21" s="306"/>
      <c r="CV21" s="305">
        <v>12124</v>
      </c>
      <c r="CW21" s="305">
        <v>12566</v>
      </c>
      <c r="CX21" s="306"/>
      <c r="CY21" s="305">
        <v>27375</v>
      </c>
      <c r="CZ21" s="305">
        <v>5941</v>
      </c>
      <c r="DA21" s="306"/>
      <c r="DB21" s="306"/>
      <c r="DC21" s="306"/>
      <c r="DD21" s="306"/>
      <c r="DE21" s="306"/>
      <c r="DF21" s="306"/>
      <c r="DG21" s="306"/>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06"/>
      <c r="FC21" s="306"/>
      <c r="FD21" s="306"/>
      <c r="FE21" s="306"/>
      <c r="FF21" s="306"/>
      <c r="FG21" s="306"/>
      <c r="FH21" s="306"/>
      <c r="FI21" s="306"/>
      <c r="FJ21" s="306"/>
      <c r="FK21" s="306"/>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row>
    <row r="22" spans="33:189">
      <c r="AG22" s="321"/>
      <c r="AH22" s="306"/>
      <c r="AJ22" s="321"/>
      <c r="AK22" s="306"/>
      <c r="AL22" s="306"/>
      <c r="AM22" s="321"/>
      <c r="AN22" s="306"/>
      <c r="AO22" s="306"/>
      <c r="AP22" s="321"/>
      <c r="AQ22" s="306"/>
      <c r="AR22" s="306"/>
      <c r="AS22" s="321"/>
      <c r="AT22" s="306"/>
      <c r="AU22" s="306"/>
      <c r="AV22" s="321"/>
      <c r="AW22" s="306"/>
      <c r="AX22" s="306"/>
      <c r="AY22" s="321"/>
      <c r="AZ22" s="306"/>
      <c r="BA22" s="306"/>
      <c r="BB22" s="321"/>
      <c r="BC22" s="306"/>
      <c r="BD22" s="306"/>
      <c r="BE22" s="306"/>
      <c r="BF22" s="306"/>
      <c r="BG22" s="306"/>
      <c r="BH22" s="321"/>
      <c r="BI22" s="306"/>
      <c r="BJ22" s="306"/>
      <c r="BK22" s="306"/>
      <c r="BL22" s="306"/>
      <c r="BM22" s="306"/>
      <c r="BN22" s="321"/>
      <c r="BO22" s="306"/>
      <c r="BP22" s="306"/>
      <c r="BQ22" s="306"/>
      <c r="BR22" s="306"/>
      <c r="BS22" s="306"/>
      <c r="BT22" s="321"/>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22" t="s">
        <v>27</v>
      </c>
      <c r="CS22" s="305">
        <v>4031</v>
      </c>
      <c r="CT22" s="319">
        <v>2562</v>
      </c>
      <c r="CU22" s="306"/>
      <c r="CV22" s="319">
        <v>1603</v>
      </c>
      <c r="CW22" s="319">
        <v>1845</v>
      </c>
      <c r="CX22" s="306"/>
      <c r="CY22" s="324">
        <v>1840</v>
      </c>
      <c r="CZ22" s="324">
        <v>820</v>
      </c>
      <c r="DA22" s="306"/>
      <c r="DB22" s="306"/>
      <c r="DC22" s="306"/>
      <c r="DD22" s="306"/>
      <c r="DE22" s="306"/>
      <c r="DF22" s="306"/>
      <c r="DG22" s="306"/>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row>
    <row r="23" spans="33:189">
      <c r="AG23" s="321"/>
      <c r="AH23" s="306"/>
      <c r="AJ23" s="321"/>
      <c r="AK23" s="306"/>
      <c r="AL23" s="306"/>
      <c r="AM23" s="321"/>
      <c r="AN23" s="306"/>
      <c r="AO23" s="306"/>
      <c r="AP23" s="321"/>
      <c r="AQ23" s="306"/>
      <c r="AR23" s="306"/>
      <c r="AS23" s="321"/>
      <c r="AT23" s="306"/>
      <c r="AU23" s="306"/>
      <c r="AV23" s="321"/>
      <c r="AW23" s="306"/>
      <c r="AX23" s="306"/>
      <c r="AY23" s="321"/>
      <c r="AZ23" s="306"/>
      <c r="BA23" s="306"/>
      <c r="BB23" s="321"/>
      <c r="BC23" s="306"/>
      <c r="BD23" s="306"/>
      <c r="BE23" s="306"/>
      <c r="BF23" s="306"/>
      <c r="BG23" s="306"/>
      <c r="BH23" s="321"/>
      <c r="BI23" s="306"/>
      <c r="BJ23" s="306"/>
      <c r="BK23" s="306"/>
      <c r="BL23" s="306"/>
      <c r="BM23" s="306"/>
      <c r="BN23" s="321"/>
      <c r="BO23" s="306"/>
      <c r="BP23" s="306"/>
      <c r="BQ23" s="306"/>
      <c r="BR23" s="306"/>
      <c r="BS23" s="306"/>
      <c r="BT23" s="321"/>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8"/>
      <c r="CS23" s="325">
        <f>SUM(CS15:CS22)</f>
        <v>1079388</v>
      </c>
      <c r="CT23" s="325">
        <f>SUM(CT15:CT22)</f>
        <v>1411162</v>
      </c>
      <c r="CU23" s="306"/>
      <c r="CV23" s="325">
        <f>SUM(CV15:CV22)</f>
        <v>760127</v>
      </c>
      <c r="CW23" s="325">
        <f>SUM(CW15:CW22)</f>
        <v>1018451</v>
      </c>
      <c r="CX23" s="306"/>
      <c r="CY23" s="325">
        <f>SUM(CY15:CY22)</f>
        <v>684767</v>
      </c>
      <c r="CZ23" s="325">
        <f>SUM(CZ15:CZ22)</f>
        <v>809087</v>
      </c>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row>
    <row r="24" spans="33:189">
      <c r="AG24" s="321"/>
      <c r="AH24" s="306"/>
      <c r="AJ24" s="321"/>
      <c r="AK24" s="306"/>
      <c r="AL24" s="306"/>
      <c r="AM24" s="321"/>
      <c r="AN24" s="306"/>
      <c r="AO24" s="306"/>
      <c r="AP24" s="321"/>
      <c r="AQ24" s="306"/>
      <c r="AR24" s="306"/>
      <c r="AS24" s="321"/>
      <c r="AT24" s="306"/>
      <c r="AU24" s="306"/>
      <c r="AV24" s="321"/>
      <c r="AW24" s="306"/>
      <c r="AX24" s="306"/>
      <c r="AY24" s="321"/>
      <c r="AZ24" s="306"/>
      <c r="BA24" s="306"/>
      <c r="BB24" s="321"/>
      <c r="BC24" s="306"/>
      <c r="BD24" s="306"/>
      <c r="BE24" s="306"/>
      <c r="BF24" s="306"/>
      <c r="BG24" s="306"/>
      <c r="BH24" s="321"/>
      <c r="BI24" s="306"/>
      <c r="BJ24" s="306"/>
      <c r="BK24" s="306"/>
      <c r="BL24" s="306"/>
      <c r="BM24" s="306"/>
      <c r="BN24" s="321"/>
      <c r="BO24" s="306"/>
      <c r="BP24" s="306"/>
      <c r="BQ24" s="306"/>
      <c r="BR24" s="306"/>
      <c r="BS24" s="306"/>
      <c r="BT24" s="321"/>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row>
    <row r="25" spans="33:189">
      <c r="AG25" s="321"/>
      <c r="AH25" s="306"/>
      <c r="AJ25" s="321"/>
      <c r="AK25" s="306"/>
      <c r="AL25" s="306"/>
      <c r="AM25" s="321"/>
      <c r="AN25" s="306"/>
      <c r="AO25" s="306"/>
      <c r="AP25" s="321"/>
      <c r="AQ25" s="306"/>
      <c r="AR25" s="306"/>
      <c r="AS25" s="321"/>
      <c r="AT25" s="306"/>
      <c r="AU25" s="306"/>
      <c r="AV25" s="321"/>
      <c r="AW25" s="306"/>
      <c r="AX25" s="306"/>
      <c r="AY25" s="321"/>
      <c r="AZ25" s="306"/>
      <c r="BA25" s="306"/>
      <c r="BB25" s="321"/>
      <c r="BC25" s="306"/>
      <c r="BD25" s="306"/>
      <c r="BE25" s="306"/>
      <c r="BF25" s="306"/>
      <c r="BG25" s="306"/>
      <c r="BH25" s="321"/>
      <c r="BI25" s="306"/>
      <c r="BJ25" s="306"/>
      <c r="BK25" s="306"/>
      <c r="BL25" s="306"/>
      <c r="BM25" s="306"/>
      <c r="BN25" s="321"/>
      <c r="BO25" s="306"/>
      <c r="BP25" s="306"/>
      <c r="BQ25" s="306"/>
      <c r="BR25" s="306"/>
      <c r="BS25" s="306"/>
      <c r="BT25" s="321"/>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row>
    <row r="26" spans="33:189">
      <c r="AG26" s="321"/>
      <c r="AH26" s="306"/>
      <c r="AJ26" s="321"/>
      <c r="AK26" s="306"/>
      <c r="AL26" s="306"/>
      <c r="AM26" s="321"/>
      <c r="AN26" s="306"/>
      <c r="AO26" s="306"/>
      <c r="AP26" s="321"/>
      <c r="AQ26" s="306"/>
      <c r="AR26" s="306"/>
      <c r="AS26" s="321"/>
      <c r="AT26" s="306"/>
      <c r="AU26" s="306"/>
      <c r="AV26" s="321"/>
      <c r="AW26" s="306"/>
      <c r="AX26" s="306"/>
      <c r="AY26" s="321"/>
      <c r="AZ26" s="306"/>
      <c r="BA26" s="306"/>
      <c r="BB26" s="321"/>
      <c r="BC26" s="306"/>
      <c r="BD26" s="306"/>
      <c r="BE26" s="306"/>
      <c r="BF26" s="306"/>
      <c r="BG26" s="306"/>
      <c r="BH26" s="321"/>
      <c r="BI26" s="306"/>
      <c r="BJ26" s="306"/>
      <c r="BK26" s="306"/>
      <c r="BL26" s="306"/>
      <c r="BM26" s="306"/>
      <c r="BN26" s="321"/>
      <c r="BO26" s="306"/>
      <c r="BP26" s="306"/>
      <c r="BQ26" s="306"/>
      <c r="BR26" s="306"/>
      <c r="BS26" s="306"/>
      <c r="BT26" s="321"/>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row>
    <row r="27" spans="33:189">
      <c r="AG27" s="321"/>
      <c r="AH27" s="306"/>
      <c r="AJ27" s="321"/>
      <c r="AK27" s="306"/>
      <c r="AL27" s="306"/>
      <c r="AM27" s="321"/>
      <c r="AN27" s="306"/>
      <c r="AO27" s="306"/>
      <c r="AP27" s="321"/>
      <c r="AQ27" s="306"/>
      <c r="AR27" s="306"/>
      <c r="AS27" s="321"/>
      <c r="AT27" s="306"/>
      <c r="AU27" s="306"/>
      <c r="AV27" s="321"/>
      <c r="AW27" s="306"/>
      <c r="AX27" s="306"/>
      <c r="AY27" s="321"/>
      <c r="AZ27" s="306"/>
      <c r="BA27" s="306"/>
      <c r="BB27" s="321"/>
      <c r="BC27" s="306"/>
      <c r="BD27" s="306"/>
      <c r="BE27" s="306"/>
      <c r="BF27" s="306"/>
      <c r="BG27" s="306"/>
      <c r="BH27" s="321"/>
      <c r="BI27" s="306"/>
      <c r="BJ27" s="306"/>
      <c r="BK27" s="306"/>
      <c r="BL27" s="306"/>
      <c r="BM27" s="306"/>
      <c r="BN27" s="321"/>
      <c r="BO27" s="306"/>
      <c r="BP27" s="306"/>
      <c r="BQ27" s="306"/>
      <c r="BR27" s="306"/>
      <c r="BS27" s="306"/>
      <c r="BT27" s="321"/>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row>
    <row r="28" spans="33:189">
      <c r="AG28" s="321"/>
      <c r="AH28" s="306"/>
      <c r="AJ28" s="321"/>
      <c r="AK28" s="306"/>
      <c r="AL28" s="306"/>
      <c r="AM28" s="321"/>
      <c r="AN28" s="306"/>
      <c r="AO28" s="306"/>
      <c r="AP28" s="321"/>
      <c r="AQ28" s="306"/>
      <c r="AR28" s="306"/>
      <c r="AS28" s="321"/>
      <c r="AT28" s="306"/>
      <c r="AU28" s="306"/>
      <c r="AV28" s="321"/>
      <c r="AW28" s="306"/>
      <c r="AX28" s="306"/>
      <c r="AY28" s="321"/>
      <c r="AZ28" s="306"/>
      <c r="BA28" s="306"/>
      <c r="BB28" s="321"/>
      <c r="BC28" s="306"/>
      <c r="BD28" s="306"/>
      <c r="BE28" s="306"/>
      <c r="BF28" s="306"/>
      <c r="BG28" s="306"/>
      <c r="BH28" s="321"/>
      <c r="BI28" s="306"/>
      <c r="BJ28" s="306"/>
      <c r="BK28" s="306"/>
      <c r="BL28" s="306"/>
      <c r="BM28" s="306"/>
      <c r="BN28" s="321"/>
      <c r="BO28" s="306"/>
      <c r="BP28" s="306"/>
      <c r="BQ28" s="306"/>
      <c r="BR28" s="306"/>
      <c r="BS28" s="306"/>
      <c r="BT28" s="321"/>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row>
    <row r="29" spans="33:189">
      <c r="AG29" s="321"/>
      <c r="AH29" s="306"/>
      <c r="AJ29" s="321"/>
      <c r="AK29" s="306"/>
      <c r="AL29" s="306"/>
      <c r="AM29" s="321"/>
      <c r="AN29" s="306"/>
      <c r="AO29" s="306"/>
      <c r="AP29" s="321"/>
      <c r="AQ29" s="306"/>
      <c r="AR29" s="306"/>
      <c r="AS29" s="321"/>
      <c r="AT29" s="306"/>
      <c r="AU29" s="306"/>
      <c r="AV29" s="321"/>
      <c r="AW29" s="306"/>
      <c r="AX29" s="306"/>
      <c r="AY29" s="321"/>
      <c r="AZ29" s="306"/>
      <c r="BA29" s="306"/>
      <c r="BB29" s="321"/>
      <c r="BC29" s="306"/>
      <c r="BD29" s="306"/>
      <c r="BE29" s="306"/>
      <c r="BF29" s="306"/>
      <c r="BG29" s="306"/>
      <c r="BH29" s="321"/>
      <c r="BI29" s="306"/>
      <c r="BJ29" s="306"/>
      <c r="BK29" s="306"/>
      <c r="BL29" s="306"/>
      <c r="BM29" s="306"/>
      <c r="BN29" s="321"/>
      <c r="BO29" s="306"/>
      <c r="BP29" s="306"/>
      <c r="BQ29" s="306"/>
      <c r="BR29" s="306"/>
      <c r="BS29" s="306"/>
      <c r="BT29" s="321"/>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row>
  </sheetData>
  <customSheetViews>
    <customSheetView guid="{786DE933-524F-40D1-8033-C008687087FC}">
      <pageMargins left="0.7" right="0.7" top="0.75" bottom="0.75" header="0.3" footer="0.3"/>
    </customSheetView>
    <customSheetView guid="{627AEB6E-B9F1-415E-9A60-881757A50C67}">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AAA495E0-27FD-4941-85B8-9038B6AD4FA3}">
      <selection activeCell="A14" sqref="A14"/>
      <pageMargins left="0.7" right="0.7" top="0.75" bottom="0.75" header="0.3" footer="0.3"/>
    </customSheetView>
    <customSheetView guid="{77EFF5B1-32BE-4080-9902-B97F43099026}">
      <pageMargins left="0.7" right="0.7" top="0.75" bottom="0.75" header="0.3" footer="0.3"/>
    </customSheetView>
  </customSheetViews>
  <mergeCells count="31">
    <mergeCell ref="L2:M2"/>
    <mergeCell ref="O2:P2"/>
    <mergeCell ref="AG2:AH2"/>
    <mergeCell ref="U2:V2"/>
    <mergeCell ref="AJ2:AK2"/>
    <mergeCell ref="CF2:CG2"/>
    <mergeCell ref="BW2:BX2"/>
    <mergeCell ref="BN2:BO2"/>
    <mergeCell ref="BT2:BU2"/>
    <mergeCell ref="AS2:AT2"/>
    <mergeCell ref="AY2:AZ2"/>
    <mergeCell ref="BE2:BF2"/>
    <mergeCell ref="BK2:BL2"/>
    <mergeCell ref="AP2:AQ2"/>
    <mergeCell ref="AM2:AN2"/>
    <mergeCell ref="F2:G2"/>
    <mergeCell ref="C2:D2"/>
    <mergeCell ref="I2:J2"/>
    <mergeCell ref="CL2:CM2"/>
    <mergeCell ref="CO2:CP2"/>
    <mergeCell ref="R2:S2"/>
    <mergeCell ref="CI2:CJ2"/>
    <mergeCell ref="X2:Y2"/>
    <mergeCell ref="AD2:AE2"/>
    <mergeCell ref="AA2:AB2"/>
    <mergeCell ref="BZ2:CA2"/>
    <mergeCell ref="CC2:CD2"/>
    <mergeCell ref="AV2:AW2"/>
    <mergeCell ref="BB2:BC2"/>
    <mergeCell ref="BH2:BI2"/>
    <mergeCell ref="BQ2:BR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40"/>
  <sheetViews>
    <sheetView zoomScale="96" zoomScaleNormal="96" workbookViewId="0">
      <selection activeCell="F2" sqref="F2"/>
    </sheetView>
  </sheetViews>
  <sheetFormatPr defaultColWidth="9.140625" defaultRowHeight="15"/>
  <cols>
    <col min="1" max="1" width="90.28515625" style="88" customWidth="1"/>
    <col min="2" max="2" width="8.140625" style="88" customWidth="1"/>
    <col min="3" max="6" width="23.5703125" style="88" customWidth="1"/>
    <col min="7" max="16384" width="9.140625" style="88"/>
  </cols>
  <sheetData>
    <row r="1" spans="1:6" ht="20.25">
      <c r="A1" s="419" t="s">
        <v>292</v>
      </c>
      <c r="B1" s="129"/>
      <c r="C1" s="130"/>
      <c r="D1" s="130"/>
    </row>
    <row r="2" spans="1:6" ht="116.25" customHeight="1">
      <c r="A2" s="420" t="s">
        <v>478</v>
      </c>
      <c r="B2" s="89" t="s">
        <v>293</v>
      </c>
      <c r="C2" s="83" t="s">
        <v>971</v>
      </c>
      <c r="D2" s="83" t="s">
        <v>972</v>
      </c>
      <c r="E2" s="83" t="s">
        <v>973</v>
      </c>
      <c r="F2" s="83" t="s">
        <v>974</v>
      </c>
    </row>
    <row r="3" spans="1:6">
      <c r="A3" s="379"/>
      <c r="B3" s="80"/>
      <c r="C3" s="96"/>
      <c r="D3" s="96"/>
    </row>
    <row r="4" spans="1:6">
      <c r="A4" s="236" t="s">
        <v>135</v>
      </c>
      <c r="B4" s="241">
        <v>11</v>
      </c>
      <c r="C4" s="242">
        <v>5085045</v>
      </c>
      <c r="D4" s="242">
        <v>10397854</v>
      </c>
      <c r="E4" s="242">
        <v>4188648</v>
      </c>
      <c r="F4" s="242">
        <v>8825534</v>
      </c>
    </row>
    <row r="5" spans="1:6">
      <c r="A5" s="477" t="s">
        <v>982</v>
      </c>
      <c r="B5" s="243">
        <v>12</v>
      </c>
      <c r="C5" s="242">
        <v>-4572304</v>
      </c>
      <c r="D5" s="242">
        <v>-8950024</v>
      </c>
      <c r="E5" s="242">
        <v>-3858444</v>
      </c>
      <c r="F5" s="242">
        <v>-7549949</v>
      </c>
    </row>
    <row r="6" spans="1:6">
      <c r="A6" s="652" t="s">
        <v>967</v>
      </c>
      <c r="B6" s="243">
        <v>12</v>
      </c>
      <c r="C6" s="242">
        <v>-256582</v>
      </c>
      <c r="D6" s="242">
        <v>-256333</v>
      </c>
      <c r="E6" s="242">
        <v>-377938</v>
      </c>
      <c r="F6" s="242">
        <v>-383849</v>
      </c>
    </row>
    <row r="7" spans="1:6">
      <c r="A7" s="440" t="s">
        <v>294</v>
      </c>
      <c r="B7" s="441"/>
      <c r="C7" s="442">
        <v>512741</v>
      </c>
      <c r="D7" s="442">
        <v>1447830</v>
      </c>
      <c r="E7" s="442">
        <v>330204</v>
      </c>
      <c r="F7" s="442">
        <v>1275585</v>
      </c>
    </row>
    <row r="8" spans="1:6">
      <c r="A8" s="236" t="s">
        <v>295</v>
      </c>
      <c r="B8" s="241">
        <v>12</v>
      </c>
      <c r="C8" s="242">
        <v>-125106</v>
      </c>
      <c r="D8" s="242">
        <v>-231801</v>
      </c>
      <c r="E8" s="242">
        <v>-116053</v>
      </c>
      <c r="F8" s="242">
        <v>-228322</v>
      </c>
    </row>
    <row r="9" spans="1:6">
      <c r="A9" s="236" t="s">
        <v>296</v>
      </c>
      <c r="B9" s="241">
        <v>12</v>
      </c>
      <c r="C9" s="242">
        <v>-144229</v>
      </c>
      <c r="D9" s="242">
        <v>-299103</v>
      </c>
      <c r="E9" s="242">
        <v>-160702</v>
      </c>
      <c r="F9" s="242">
        <v>-283605</v>
      </c>
    </row>
    <row r="10" spans="1:6">
      <c r="A10" s="236" t="s">
        <v>983</v>
      </c>
      <c r="B10" s="241">
        <v>13</v>
      </c>
      <c r="C10" s="242">
        <v>10048</v>
      </c>
      <c r="D10" s="242">
        <v>21672</v>
      </c>
      <c r="E10" s="242">
        <v>5749</v>
      </c>
      <c r="F10" s="242">
        <v>145784</v>
      </c>
    </row>
    <row r="11" spans="1:6">
      <c r="A11" s="236" t="s">
        <v>298</v>
      </c>
      <c r="B11" s="241">
        <v>22</v>
      </c>
      <c r="C11" s="242">
        <v>7202</v>
      </c>
      <c r="D11" s="242">
        <v>50025</v>
      </c>
      <c r="E11" s="242">
        <v>20200</v>
      </c>
      <c r="F11" s="242">
        <v>45442</v>
      </c>
    </row>
    <row r="12" spans="1:6">
      <c r="A12" s="437" t="s">
        <v>299</v>
      </c>
      <c r="B12" s="438"/>
      <c r="C12" s="439">
        <v>260656</v>
      </c>
      <c r="D12" s="439">
        <v>988623</v>
      </c>
      <c r="E12" s="439">
        <v>79398</v>
      </c>
      <c r="F12" s="439">
        <v>954884</v>
      </c>
    </row>
    <row r="13" spans="1:6">
      <c r="A13" s="237" t="s">
        <v>300</v>
      </c>
      <c r="B13" s="246">
        <v>14</v>
      </c>
      <c r="C13" s="245">
        <v>-58519</v>
      </c>
      <c r="D13" s="245">
        <v>-113401</v>
      </c>
      <c r="E13" s="245">
        <v>-43027</v>
      </c>
      <c r="F13" s="245">
        <v>-81430</v>
      </c>
    </row>
    <row r="14" spans="1:6">
      <c r="A14" s="237" t="s">
        <v>984</v>
      </c>
      <c r="B14" s="246">
        <v>14</v>
      </c>
      <c r="C14" s="245">
        <v>18878</v>
      </c>
      <c r="D14" s="245">
        <v>5</v>
      </c>
      <c r="E14" s="245">
        <v>-102102</v>
      </c>
      <c r="F14" s="245">
        <v>-148087</v>
      </c>
    </row>
    <row r="15" spans="1:6">
      <c r="A15" s="235" t="s">
        <v>301</v>
      </c>
      <c r="B15" s="241"/>
      <c r="C15" s="244">
        <v>221015</v>
      </c>
      <c r="D15" s="244">
        <v>875227</v>
      </c>
      <c r="E15" s="244">
        <v>-65731</v>
      </c>
      <c r="F15" s="244">
        <v>725367</v>
      </c>
    </row>
    <row r="16" spans="1:6">
      <c r="A16" s="236" t="s">
        <v>302</v>
      </c>
      <c r="B16" s="241" t="s">
        <v>119</v>
      </c>
      <c r="C16" s="242">
        <v>-78767</v>
      </c>
      <c r="D16" s="242">
        <v>-208287</v>
      </c>
      <c r="E16" s="242">
        <v>-2502</v>
      </c>
      <c r="F16" s="242">
        <v>-156931</v>
      </c>
    </row>
    <row r="17" spans="1:6">
      <c r="A17" s="437" t="s">
        <v>968</v>
      </c>
      <c r="B17" s="438"/>
      <c r="C17" s="439">
        <v>142248</v>
      </c>
      <c r="D17" s="439">
        <v>666940</v>
      </c>
      <c r="E17" s="439">
        <v>-68233</v>
      </c>
      <c r="F17" s="439">
        <v>568436</v>
      </c>
    </row>
    <row r="18" spans="1:6" ht="1.5" customHeight="1">
      <c r="A18" s="235"/>
      <c r="B18" s="241"/>
      <c r="C18" s="247"/>
      <c r="D18" s="247"/>
      <c r="E18" s="247"/>
      <c r="F18" s="247"/>
    </row>
    <row r="19" spans="1:6">
      <c r="A19" s="238" t="s">
        <v>303</v>
      </c>
      <c r="B19" s="241" t="s">
        <v>940</v>
      </c>
      <c r="C19" s="242">
        <v>-592</v>
      </c>
      <c r="D19" s="242">
        <v>-3363</v>
      </c>
      <c r="E19" s="242">
        <v>-76</v>
      </c>
      <c r="F19" s="242">
        <v>-13184</v>
      </c>
    </row>
    <row r="20" spans="1:6" ht="25.5">
      <c r="A20" s="238" t="s">
        <v>304</v>
      </c>
      <c r="B20" s="241"/>
      <c r="C20" s="242">
        <v>936</v>
      </c>
      <c r="D20" s="242">
        <v>-215</v>
      </c>
      <c r="E20" s="242">
        <v>4333</v>
      </c>
      <c r="F20" s="242">
        <v>8871</v>
      </c>
    </row>
    <row r="21" spans="1:6">
      <c r="A21" s="238" t="s">
        <v>305</v>
      </c>
      <c r="B21" s="241" t="s">
        <v>119</v>
      </c>
      <c r="C21" s="242">
        <v>112</v>
      </c>
      <c r="D21" s="242">
        <v>639</v>
      </c>
      <c r="E21" s="242">
        <v>15</v>
      </c>
      <c r="F21" s="242">
        <v>2505</v>
      </c>
    </row>
    <row r="22" spans="1:6" ht="25.5">
      <c r="A22" s="239" t="s">
        <v>821</v>
      </c>
      <c r="B22" s="241"/>
      <c r="C22" s="244">
        <v>456</v>
      </c>
      <c r="D22" s="244">
        <v>-2939</v>
      </c>
      <c r="E22" s="244">
        <v>4272</v>
      </c>
      <c r="F22" s="244">
        <v>-1808</v>
      </c>
    </row>
    <row r="23" spans="1:6" ht="6" hidden="1" customHeight="1">
      <c r="A23" s="239"/>
      <c r="B23" s="241"/>
      <c r="C23" s="244"/>
      <c r="D23" s="244"/>
      <c r="E23" s="244"/>
      <c r="F23" s="244"/>
    </row>
    <row r="24" spans="1:6">
      <c r="A24" s="238" t="s">
        <v>480</v>
      </c>
      <c r="B24" s="241" t="s">
        <v>906</v>
      </c>
      <c r="C24" s="242">
        <v>5513</v>
      </c>
      <c r="D24" s="242">
        <v>8301</v>
      </c>
      <c r="E24" s="242">
        <v>7445</v>
      </c>
      <c r="F24" s="242">
        <v>6239</v>
      </c>
    </row>
    <row r="25" spans="1:6">
      <c r="A25" s="240" t="s">
        <v>305</v>
      </c>
      <c r="B25" s="241" t="s">
        <v>119</v>
      </c>
      <c r="C25" s="242">
        <v>-1044</v>
      </c>
      <c r="D25" s="242">
        <v>-1575</v>
      </c>
      <c r="E25" s="242">
        <v>-1415</v>
      </c>
      <c r="F25" s="242">
        <v>-1184</v>
      </c>
    </row>
    <row r="26" spans="1:6" ht="25.5">
      <c r="A26" s="240" t="s">
        <v>306</v>
      </c>
      <c r="B26" s="241">
        <v>22</v>
      </c>
      <c r="C26" s="242">
        <v>156</v>
      </c>
      <c r="D26" s="242">
        <v>278</v>
      </c>
      <c r="E26" s="242">
        <v>178</v>
      </c>
      <c r="F26" s="242">
        <v>338</v>
      </c>
    </row>
    <row r="27" spans="1:6" ht="36.75" customHeight="1">
      <c r="A27" s="239" t="s">
        <v>307</v>
      </c>
      <c r="B27" s="283"/>
      <c r="C27" s="244">
        <v>4625</v>
      </c>
      <c r="D27" s="244">
        <v>7004</v>
      </c>
      <c r="E27" s="244">
        <v>6208</v>
      </c>
      <c r="F27" s="244">
        <v>5393</v>
      </c>
    </row>
    <row r="28" spans="1:6" ht="3" customHeight="1">
      <c r="A28" s="240"/>
      <c r="B28" s="283"/>
      <c r="C28" s="242"/>
      <c r="D28" s="242"/>
      <c r="E28" s="242"/>
      <c r="F28" s="242"/>
    </row>
    <row r="29" spans="1:6">
      <c r="A29" s="235" t="s">
        <v>308</v>
      </c>
      <c r="B29" s="283"/>
      <c r="C29" s="244">
        <v>5081</v>
      </c>
      <c r="D29" s="244">
        <v>4065</v>
      </c>
      <c r="E29" s="244">
        <v>10480</v>
      </c>
      <c r="F29" s="244">
        <v>3585</v>
      </c>
    </row>
    <row r="30" spans="1:6">
      <c r="A30" s="437" t="s">
        <v>309</v>
      </c>
      <c r="B30" s="443"/>
      <c r="C30" s="439">
        <v>147329</v>
      </c>
      <c r="D30" s="439">
        <v>671005</v>
      </c>
      <c r="E30" s="439">
        <v>-57753</v>
      </c>
      <c r="F30" s="439">
        <v>572021</v>
      </c>
    </row>
    <row r="31" spans="1:6">
      <c r="A31" s="421" t="s">
        <v>969</v>
      </c>
      <c r="B31" s="241"/>
      <c r="C31" s="248"/>
      <c r="D31" s="248"/>
      <c r="E31" s="248"/>
      <c r="F31" s="248"/>
    </row>
    <row r="32" spans="1:6">
      <c r="A32" s="238" t="s">
        <v>310</v>
      </c>
      <c r="B32" s="241"/>
      <c r="C32" s="249">
        <v>141903</v>
      </c>
      <c r="D32" s="249">
        <v>666097</v>
      </c>
      <c r="E32" s="249">
        <v>-69124</v>
      </c>
      <c r="F32" s="249">
        <v>567029</v>
      </c>
    </row>
    <row r="33" spans="1:6">
      <c r="A33" s="238" t="s">
        <v>311</v>
      </c>
      <c r="B33" s="241"/>
      <c r="C33" s="250">
        <v>345</v>
      </c>
      <c r="D33" s="250">
        <v>843</v>
      </c>
      <c r="E33" s="250">
        <v>891</v>
      </c>
      <c r="F33" s="250">
        <v>1407</v>
      </c>
    </row>
    <row r="34" spans="1:6">
      <c r="A34" s="422" t="s">
        <v>312</v>
      </c>
      <c r="B34" s="278"/>
      <c r="C34" s="251"/>
      <c r="D34" s="251"/>
      <c r="E34" s="251"/>
      <c r="F34" s="251"/>
    </row>
    <row r="35" spans="1:6">
      <c r="A35" s="238" t="s">
        <v>310</v>
      </c>
      <c r="B35" s="241"/>
      <c r="C35" s="249">
        <v>146973</v>
      </c>
      <c r="D35" s="249">
        <v>670143</v>
      </c>
      <c r="E35" s="249">
        <v>-58651</v>
      </c>
      <c r="F35" s="249">
        <v>570605</v>
      </c>
    </row>
    <row r="36" spans="1:6">
      <c r="A36" s="238" t="s">
        <v>311</v>
      </c>
      <c r="B36" s="241"/>
      <c r="C36" s="250">
        <v>356</v>
      </c>
      <c r="D36" s="250">
        <v>862</v>
      </c>
      <c r="E36" s="250">
        <v>898</v>
      </c>
      <c r="F36" s="250">
        <v>1416</v>
      </c>
    </row>
    <row r="37" spans="1:6" ht="7.5" customHeight="1">
      <c r="A37" s="236"/>
      <c r="B37" s="241"/>
      <c r="C37" s="252"/>
      <c r="D37" s="252"/>
      <c r="E37" s="252"/>
      <c r="F37" s="252"/>
    </row>
    <row r="38" spans="1:6" ht="25.5">
      <c r="A38" s="423" t="s">
        <v>970</v>
      </c>
      <c r="B38" s="253"/>
      <c r="C38" s="254">
        <v>8.096947252146891E-2</v>
      </c>
      <c r="D38" s="254">
        <v>0.38007316785503392</v>
      </c>
      <c r="E38" s="254">
        <v>-3.9441969645278907E-2</v>
      </c>
      <c r="F38" s="254">
        <v>0.32354523184411887</v>
      </c>
    </row>
    <row r="39" spans="1:6">
      <c r="A39" s="235"/>
      <c r="B39" s="241"/>
      <c r="C39" s="277"/>
      <c r="D39" s="277"/>
    </row>
    <row r="40" spans="1:6">
      <c r="A40" s="187"/>
      <c r="B40" s="187"/>
      <c r="C40" s="187"/>
      <c r="D40" s="187"/>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72"/>
  <sheetViews>
    <sheetView topLeftCell="A14" zoomScale="90" zoomScaleNormal="90" workbookViewId="0">
      <selection activeCell="D9" sqref="D9"/>
    </sheetView>
  </sheetViews>
  <sheetFormatPr defaultColWidth="9.140625" defaultRowHeight="15"/>
  <cols>
    <col min="1" max="1" width="89.28515625" style="88" customWidth="1"/>
    <col min="2" max="2" width="9.140625" style="88"/>
    <col min="3" max="3" width="19.7109375" style="88" customWidth="1"/>
    <col min="4" max="4" width="21" style="88" customWidth="1"/>
    <col min="5" max="5" width="18.28515625" style="88" customWidth="1"/>
    <col min="6" max="16384" width="9.140625" style="88"/>
  </cols>
  <sheetData>
    <row r="1" spans="1:5" ht="20.25">
      <c r="A1" s="86" t="s">
        <v>30</v>
      </c>
      <c r="B1" s="104"/>
      <c r="C1" s="87"/>
      <c r="D1" s="87"/>
    </row>
    <row r="2" spans="1:5" ht="78" customHeight="1">
      <c r="A2" s="105" t="s">
        <v>478</v>
      </c>
      <c r="B2" s="89" t="s">
        <v>313</v>
      </c>
      <c r="C2" s="89" t="s">
        <v>975</v>
      </c>
      <c r="D2" s="83" t="s">
        <v>942</v>
      </c>
      <c r="E2" s="83" t="s">
        <v>946</v>
      </c>
    </row>
    <row r="3" spans="1:5">
      <c r="A3" s="379" t="s">
        <v>314</v>
      </c>
      <c r="B3" s="80"/>
      <c r="C3" s="107"/>
      <c r="D3" s="107"/>
      <c r="E3" s="107"/>
    </row>
    <row r="4" spans="1:5">
      <c r="A4" s="412" t="s">
        <v>315</v>
      </c>
      <c r="B4" s="81"/>
      <c r="C4" s="108"/>
      <c r="D4" s="108"/>
      <c r="E4" s="108"/>
    </row>
    <row r="5" spans="1:5">
      <c r="A5" s="236" t="s">
        <v>316</v>
      </c>
      <c r="B5" s="110">
        <v>17</v>
      </c>
      <c r="C5" s="111">
        <v>29887481</v>
      </c>
      <c r="D5" s="111">
        <v>29406667</v>
      </c>
      <c r="E5" s="111">
        <v>28276071</v>
      </c>
    </row>
    <row r="6" spans="1:5">
      <c r="A6" s="236" t="s">
        <v>941</v>
      </c>
      <c r="B6" s="110">
        <v>18</v>
      </c>
      <c r="C6" s="111">
        <v>1330056</v>
      </c>
      <c r="D6" s="495">
        <v>0</v>
      </c>
      <c r="E6" s="495">
        <v>0</v>
      </c>
    </row>
    <row r="7" spans="1:5">
      <c r="A7" s="236" t="s">
        <v>317</v>
      </c>
      <c r="B7" s="110">
        <v>19</v>
      </c>
      <c r="C7" s="111">
        <v>26183</v>
      </c>
      <c r="D7" s="111">
        <v>26183</v>
      </c>
      <c r="E7" s="111">
        <v>40156</v>
      </c>
    </row>
    <row r="8" spans="1:5" ht="28.5">
      <c r="A8" s="236" t="s">
        <v>976</v>
      </c>
      <c r="B8" s="110" t="s">
        <v>943</v>
      </c>
      <c r="C8" s="111">
        <v>133412</v>
      </c>
      <c r="D8" s="111">
        <v>661603</v>
      </c>
      <c r="E8" s="111">
        <v>303130</v>
      </c>
    </row>
    <row r="9" spans="1:5">
      <c r="A9" s="236" t="s">
        <v>319</v>
      </c>
      <c r="B9" s="110">
        <v>21</v>
      </c>
      <c r="C9" s="111">
        <v>519810</v>
      </c>
      <c r="D9" s="111">
        <v>1287703</v>
      </c>
      <c r="E9" s="111">
        <v>1254077</v>
      </c>
    </row>
    <row r="10" spans="1:5">
      <c r="A10" s="279" t="s">
        <v>320</v>
      </c>
      <c r="B10" s="112">
        <v>22</v>
      </c>
      <c r="C10" s="111">
        <v>561896</v>
      </c>
      <c r="D10" s="111">
        <v>543913</v>
      </c>
      <c r="E10" s="111">
        <v>499204</v>
      </c>
    </row>
    <row r="11" spans="1:5">
      <c r="A11" s="279" t="s">
        <v>321</v>
      </c>
      <c r="B11" s="112">
        <v>23</v>
      </c>
      <c r="C11" s="111">
        <v>232960</v>
      </c>
      <c r="D11" s="111">
        <v>217402</v>
      </c>
      <c r="E11" s="111">
        <v>240767</v>
      </c>
    </row>
    <row r="12" spans="1:5">
      <c r="A12" s="236" t="s">
        <v>322</v>
      </c>
      <c r="B12" s="110">
        <v>24</v>
      </c>
      <c r="C12" s="111">
        <v>233088</v>
      </c>
      <c r="D12" s="111">
        <v>254677</v>
      </c>
      <c r="E12" s="111">
        <v>238354</v>
      </c>
    </row>
    <row r="13" spans="1:5">
      <c r="A13" s="236" t="s">
        <v>323</v>
      </c>
      <c r="B13" s="110" t="s">
        <v>944</v>
      </c>
      <c r="C13" s="111">
        <v>148818</v>
      </c>
      <c r="D13" s="111">
        <v>168051</v>
      </c>
      <c r="E13" s="111">
        <v>202785</v>
      </c>
    </row>
    <row r="14" spans="1:5">
      <c r="A14" s="236" t="s">
        <v>324</v>
      </c>
      <c r="B14" s="114" t="s">
        <v>945</v>
      </c>
      <c r="C14" s="111">
        <v>30715</v>
      </c>
      <c r="D14" s="111">
        <v>30105</v>
      </c>
      <c r="E14" s="111">
        <v>46122</v>
      </c>
    </row>
    <row r="15" spans="1:5">
      <c r="A15" s="413"/>
      <c r="B15" s="107"/>
      <c r="C15" s="115">
        <v>33104419</v>
      </c>
      <c r="D15" s="115">
        <v>32596304</v>
      </c>
      <c r="E15" s="115">
        <v>31100666</v>
      </c>
    </row>
    <row r="16" spans="1:5">
      <c r="A16" s="412" t="s">
        <v>325</v>
      </c>
      <c r="B16" s="81"/>
      <c r="C16" s="111"/>
      <c r="D16" s="111"/>
    </row>
    <row r="17" spans="1:5" ht="28.5">
      <c r="A17" s="236" t="s">
        <v>976</v>
      </c>
      <c r="B17" s="116" t="s">
        <v>947</v>
      </c>
      <c r="C17" s="111">
        <v>815925</v>
      </c>
      <c r="D17" s="111">
        <v>201663</v>
      </c>
      <c r="E17" s="111">
        <v>652260</v>
      </c>
    </row>
    <row r="18" spans="1:5">
      <c r="A18" s="236" t="s">
        <v>326</v>
      </c>
      <c r="B18" s="116">
        <v>26</v>
      </c>
      <c r="C18" s="111">
        <v>560026</v>
      </c>
      <c r="D18" s="111">
        <v>509801</v>
      </c>
      <c r="E18" s="111">
        <v>295463</v>
      </c>
    </row>
    <row r="19" spans="1:5">
      <c r="A19" s="236" t="s">
        <v>327</v>
      </c>
      <c r="B19" s="116">
        <v>27</v>
      </c>
      <c r="C19" s="111">
        <v>2196958</v>
      </c>
      <c r="D19" s="111">
        <v>2229363</v>
      </c>
      <c r="E19" s="111">
        <v>2032813</v>
      </c>
    </row>
    <row r="20" spans="1:5">
      <c r="A20" s="236" t="s">
        <v>907</v>
      </c>
      <c r="B20" s="116">
        <v>28</v>
      </c>
      <c r="C20" s="111">
        <v>72433</v>
      </c>
      <c r="D20" s="111">
        <v>14497</v>
      </c>
      <c r="E20" s="111">
        <v>2128</v>
      </c>
    </row>
    <row r="21" spans="1:5">
      <c r="A21" s="236" t="s">
        <v>908</v>
      </c>
      <c r="B21" s="116">
        <v>29</v>
      </c>
      <c r="C21" s="111">
        <v>135414</v>
      </c>
      <c r="D21" s="111">
        <v>209746</v>
      </c>
      <c r="E21" s="111">
        <v>241998</v>
      </c>
    </row>
    <row r="22" spans="1:5">
      <c r="A22" s="279" t="s">
        <v>321</v>
      </c>
      <c r="B22" s="116">
        <v>23</v>
      </c>
      <c r="C22" s="111">
        <v>8</v>
      </c>
      <c r="D22" s="111">
        <v>5</v>
      </c>
      <c r="E22" s="111">
        <v>329665</v>
      </c>
    </row>
    <row r="23" spans="1:5">
      <c r="A23" s="236" t="s">
        <v>322</v>
      </c>
      <c r="B23" s="116">
        <v>24</v>
      </c>
      <c r="C23" s="111">
        <v>1202808</v>
      </c>
      <c r="D23" s="111">
        <v>443033</v>
      </c>
      <c r="E23" s="111">
        <v>219933</v>
      </c>
    </row>
    <row r="24" spans="1:5">
      <c r="A24" s="236" t="s">
        <v>323</v>
      </c>
      <c r="B24" s="117" t="s">
        <v>948</v>
      </c>
      <c r="C24" s="111">
        <v>113967</v>
      </c>
      <c r="D24" s="111">
        <v>55629</v>
      </c>
      <c r="E24" s="111">
        <v>34931</v>
      </c>
    </row>
    <row r="25" spans="1:5">
      <c r="A25" s="236" t="s">
        <v>329</v>
      </c>
      <c r="B25" s="117">
        <v>30</v>
      </c>
      <c r="C25" s="111">
        <v>960470</v>
      </c>
      <c r="D25" s="111">
        <v>823724</v>
      </c>
      <c r="E25" s="111">
        <v>909249</v>
      </c>
    </row>
    <row r="26" spans="1:5" ht="25.5">
      <c r="A26" s="236" t="s">
        <v>330</v>
      </c>
      <c r="B26" s="117"/>
      <c r="C26" s="111">
        <v>21071</v>
      </c>
      <c r="D26" s="111">
        <v>13712</v>
      </c>
      <c r="E26" s="111">
        <v>15910</v>
      </c>
    </row>
    <row r="27" spans="1:5">
      <c r="A27" s="414"/>
      <c r="B27" s="82"/>
      <c r="C27" s="115">
        <v>6079080</v>
      </c>
      <c r="D27" s="115">
        <v>4501173</v>
      </c>
      <c r="E27" s="115">
        <v>4734350</v>
      </c>
    </row>
    <row r="28" spans="1:5">
      <c r="A28" s="413"/>
      <c r="B28" s="80"/>
      <c r="C28" s="96"/>
      <c r="D28" s="96"/>
      <c r="E28" s="96"/>
    </row>
    <row r="29" spans="1:5">
      <c r="A29" s="432" t="s">
        <v>331</v>
      </c>
      <c r="B29" s="430"/>
      <c r="C29" s="431">
        <v>39183499</v>
      </c>
      <c r="D29" s="431">
        <v>37097477</v>
      </c>
      <c r="E29" s="431">
        <v>35835016</v>
      </c>
    </row>
    <row r="30" spans="1:5" ht="40.5" customHeight="1">
      <c r="A30" s="413"/>
      <c r="B30" s="80"/>
      <c r="C30" s="96"/>
      <c r="D30" s="96"/>
    </row>
    <row r="31" spans="1:5">
      <c r="A31" s="415" t="s">
        <v>332</v>
      </c>
      <c r="B31" s="119"/>
      <c r="C31" s="120"/>
      <c r="D31" s="120"/>
      <c r="E31" s="120"/>
    </row>
    <row r="32" spans="1:5" ht="26.25">
      <c r="A32" s="379" t="s">
        <v>333</v>
      </c>
      <c r="B32" s="80"/>
      <c r="C32" s="96"/>
      <c r="D32" s="96"/>
      <c r="E32" s="96"/>
    </row>
    <row r="33" spans="1:5">
      <c r="A33" s="236" t="s">
        <v>334</v>
      </c>
      <c r="B33" s="80" t="s">
        <v>949</v>
      </c>
      <c r="C33" s="111">
        <v>8762747</v>
      </c>
      <c r="D33" s="111">
        <v>8762747</v>
      </c>
      <c r="E33" s="111">
        <v>8762747</v>
      </c>
    </row>
    <row r="34" spans="1:5">
      <c r="A34" s="236" t="s">
        <v>335</v>
      </c>
      <c r="B34" s="80" t="s">
        <v>950</v>
      </c>
      <c r="C34" s="111">
        <v>6801584</v>
      </c>
      <c r="D34" s="111">
        <v>8511437</v>
      </c>
      <c r="E34" s="111">
        <v>7657086</v>
      </c>
    </row>
    <row r="35" spans="1:5" ht="25.5">
      <c r="A35" s="236" t="s">
        <v>336</v>
      </c>
      <c r="B35" s="80" t="s">
        <v>940</v>
      </c>
      <c r="C35" s="100">
        <v>647</v>
      </c>
      <c r="D35" s="100">
        <v>3371</v>
      </c>
      <c r="E35" s="100">
        <v>23051</v>
      </c>
    </row>
    <row r="36" spans="1:5" ht="25.5">
      <c r="A36" s="236" t="s">
        <v>304</v>
      </c>
      <c r="B36" s="80"/>
      <c r="C36" s="100">
        <v>13801</v>
      </c>
      <c r="D36" s="100">
        <v>14016</v>
      </c>
      <c r="E36" s="100">
        <v>6776</v>
      </c>
    </row>
    <row r="37" spans="1:5">
      <c r="A37" s="416" t="s">
        <v>337</v>
      </c>
      <c r="B37" s="280" t="s">
        <v>951</v>
      </c>
      <c r="C37" s="122">
        <v>3391350</v>
      </c>
      <c r="D37" s="122">
        <v>1004253</v>
      </c>
      <c r="E37" s="122">
        <v>1586786</v>
      </c>
    </row>
    <row r="38" spans="1:5">
      <c r="A38" s="417"/>
      <c r="B38" s="496"/>
      <c r="C38" s="497">
        <v>18970129</v>
      </c>
      <c r="D38" s="497">
        <v>18295824</v>
      </c>
      <c r="E38" s="497">
        <v>18036446</v>
      </c>
    </row>
    <row r="39" spans="1:5" ht="2.25" customHeight="1">
      <c r="A39" s="413"/>
      <c r="B39" s="80"/>
      <c r="C39" s="102">
        <v>18686055</v>
      </c>
      <c r="D39" s="102">
        <v>18036446</v>
      </c>
      <c r="E39" s="102"/>
    </row>
    <row r="40" spans="1:5" ht="5.25" hidden="1" customHeight="1">
      <c r="A40" s="413"/>
      <c r="B40" s="80" t="s">
        <v>911</v>
      </c>
      <c r="C40" s="123"/>
      <c r="D40" s="123"/>
      <c r="E40" s="123"/>
    </row>
    <row r="41" spans="1:5">
      <c r="A41" s="379" t="s">
        <v>338</v>
      </c>
      <c r="B41" s="80"/>
      <c r="C41" s="102">
        <v>386282</v>
      </c>
      <c r="D41" s="102">
        <v>132657</v>
      </c>
      <c r="E41" s="102">
        <v>31367</v>
      </c>
    </row>
    <row r="42" spans="1:5" ht="0.75" customHeight="1">
      <c r="A42" s="413"/>
      <c r="B42" s="80"/>
      <c r="C42" s="123"/>
      <c r="D42" s="123"/>
      <c r="E42" s="123"/>
    </row>
    <row r="43" spans="1:5">
      <c r="A43" s="407" t="s">
        <v>339</v>
      </c>
      <c r="B43" s="82"/>
      <c r="C43" s="115">
        <v>19356411</v>
      </c>
      <c r="D43" s="115">
        <v>18428481</v>
      </c>
      <c r="E43" s="115">
        <v>18067813</v>
      </c>
    </row>
    <row r="44" spans="1:5" ht="18.75" customHeight="1">
      <c r="A44" s="413"/>
      <c r="B44" s="80"/>
      <c r="C44" s="111"/>
      <c r="D44" s="111"/>
      <c r="E44" s="111"/>
    </row>
    <row r="45" spans="1:5">
      <c r="A45" s="412" t="s">
        <v>340</v>
      </c>
      <c r="B45" s="81"/>
      <c r="C45" s="108"/>
      <c r="D45" s="108"/>
      <c r="E45" s="108"/>
    </row>
    <row r="46" spans="1:5">
      <c r="A46" s="236" t="s">
        <v>341</v>
      </c>
      <c r="B46" s="124">
        <v>32</v>
      </c>
      <c r="C46" s="111">
        <v>10275871</v>
      </c>
      <c r="D46" s="111">
        <v>8488210</v>
      </c>
      <c r="E46" s="111">
        <v>9501414</v>
      </c>
    </row>
    <row r="47" spans="1:5">
      <c r="A47" s="236" t="s">
        <v>342</v>
      </c>
      <c r="B47" s="124">
        <v>33</v>
      </c>
      <c r="C47" s="111">
        <v>1098442</v>
      </c>
      <c r="D47" s="111">
        <v>1114191</v>
      </c>
      <c r="E47" s="111">
        <v>1380650</v>
      </c>
    </row>
    <row r="48" spans="1:5" ht="38.25">
      <c r="A48" s="236" t="s">
        <v>343</v>
      </c>
      <c r="B48" s="124">
        <v>34</v>
      </c>
      <c r="C48" s="111">
        <v>395241</v>
      </c>
      <c r="D48" s="111">
        <v>396513</v>
      </c>
      <c r="E48" s="111">
        <v>351138</v>
      </c>
    </row>
    <row r="49" spans="1:5">
      <c r="A49" s="236" t="s">
        <v>344</v>
      </c>
      <c r="B49" s="124">
        <v>37</v>
      </c>
      <c r="C49" s="111">
        <v>442775</v>
      </c>
      <c r="D49" s="111">
        <v>440309</v>
      </c>
      <c r="E49" s="111">
        <v>541318</v>
      </c>
    </row>
    <row r="50" spans="1:5">
      <c r="A50" s="236" t="s">
        <v>345</v>
      </c>
      <c r="B50" s="124" t="s">
        <v>945</v>
      </c>
      <c r="C50" s="111">
        <v>764951</v>
      </c>
      <c r="D50" s="111">
        <v>823754</v>
      </c>
      <c r="E50" s="111">
        <v>871865</v>
      </c>
    </row>
    <row r="51" spans="1:5">
      <c r="A51" s="236" t="s">
        <v>347</v>
      </c>
      <c r="B51" s="124">
        <v>41</v>
      </c>
      <c r="C51" s="111">
        <v>57295</v>
      </c>
      <c r="D51" s="111">
        <v>107770</v>
      </c>
      <c r="E51" s="111">
        <v>91879</v>
      </c>
    </row>
    <row r="52" spans="1:5">
      <c r="A52" s="236" t="s">
        <v>351</v>
      </c>
      <c r="B52" s="280"/>
      <c r="C52" s="122">
        <v>8776</v>
      </c>
      <c r="D52" s="122">
        <v>11507</v>
      </c>
      <c r="E52" s="122">
        <v>1588</v>
      </c>
    </row>
    <row r="53" spans="1:5">
      <c r="A53" s="417"/>
      <c r="B53" s="127"/>
      <c r="C53" s="102">
        <v>13043351</v>
      </c>
      <c r="D53" s="102">
        <v>11382254</v>
      </c>
      <c r="E53" s="102">
        <v>12739852</v>
      </c>
    </row>
    <row r="54" spans="1:5">
      <c r="A54" s="418" t="s">
        <v>348</v>
      </c>
      <c r="B54" s="128"/>
      <c r="C54" s="111"/>
      <c r="D54" s="111"/>
    </row>
    <row r="55" spans="1:5">
      <c r="A55" s="236" t="s">
        <v>341</v>
      </c>
      <c r="B55" s="124">
        <v>32</v>
      </c>
      <c r="C55" s="111">
        <v>2109761</v>
      </c>
      <c r="D55" s="111">
        <v>2475167</v>
      </c>
      <c r="E55" s="111">
        <v>351382</v>
      </c>
    </row>
    <row r="56" spans="1:5">
      <c r="A56" s="297" t="s">
        <v>346</v>
      </c>
      <c r="B56" s="124">
        <v>38</v>
      </c>
      <c r="C56" s="111">
        <v>773721</v>
      </c>
      <c r="D56" s="111">
        <v>1127738</v>
      </c>
      <c r="E56" s="111">
        <v>1042427</v>
      </c>
    </row>
    <row r="57" spans="1:5">
      <c r="A57" s="297" t="s">
        <v>349</v>
      </c>
      <c r="B57" s="124">
        <v>39</v>
      </c>
      <c r="C57" s="111">
        <v>432608</v>
      </c>
      <c r="D57" s="111">
        <v>794917</v>
      </c>
      <c r="E57" s="111">
        <v>797304</v>
      </c>
    </row>
    <row r="58" spans="1:5">
      <c r="A58" s="236" t="s">
        <v>342</v>
      </c>
      <c r="B58" s="124">
        <v>33</v>
      </c>
      <c r="C58" s="111">
        <v>110642</v>
      </c>
      <c r="D58" s="111">
        <v>117287</v>
      </c>
      <c r="E58" s="111">
        <v>134273</v>
      </c>
    </row>
    <row r="59" spans="1:5" ht="28.5">
      <c r="A59" s="236" t="s">
        <v>977</v>
      </c>
      <c r="B59" s="124">
        <v>35</v>
      </c>
      <c r="C59" s="111">
        <v>598711</v>
      </c>
      <c r="D59" s="111">
        <v>495472</v>
      </c>
      <c r="E59" s="111">
        <v>948946</v>
      </c>
    </row>
    <row r="60" spans="1:5">
      <c r="A60" s="236" t="s">
        <v>350</v>
      </c>
      <c r="B60" s="124">
        <v>36</v>
      </c>
      <c r="C60" s="111">
        <v>521240</v>
      </c>
      <c r="D60" s="111">
        <v>559365</v>
      </c>
      <c r="E60" s="111">
        <v>353271</v>
      </c>
    </row>
    <row r="61" spans="1:5">
      <c r="A61" s="236" t="s">
        <v>344</v>
      </c>
      <c r="B61" s="124">
        <v>37</v>
      </c>
      <c r="C61" s="111">
        <v>332113</v>
      </c>
      <c r="D61" s="111">
        <v>200097</v>
      </c>
      <c r="E61" s="111">
        <v>296576</v>
      </c>
    </row>
    <row r="62" spans="1:5">
      <c r="A62" s="236" t="s">
        <v>909</v>
      </c>
      <c r="B62" s="124"/>
      <c r="C62" s="111">
        <v>3353</v>
      </c>
      <c r="D62" s="111">
        <v>426</v>
      </c>
      <c r="E62" s="111">
        <v>38446</v>
      </c>
    </row>
    <row r="63" spans="1:5">
      <c r="A63" s="236" t="s">
        <v>910</v>
      </c>
      <c r="B63" s="124">
        <v>40</v>
      </c>
      <c r="C63" s="111">
        <v>328966</v>
      </c>
      <c r="D63" s="111">
        <v>405654</v>
      </c>
      <c r="E63" s="111">
        <v>411714</v>
      </c>
    </row>
    <row r="64" spans="1:5">
      <c r="A64" s="236" t="s">
        <v>347</v>
      </c>
      <c r="B64" s="124">
        <v>41</v>
      </c>
      <c r="C64" s="111">
        <v>1205405</v>
      </c>
      <c r="D64" s="111">
        <v>773571</v>
      </c>
      <c r="E64" s="111">
        <v>342162</v>
      </c>
    </row>
    <row r="65" spans="1:5">
      <c r="A65" s="416" t="s">
        <v>351</v>
      </c>
      <c r="B65" s="125">
        <v>42</v>
      </c>
      <c r="C65" s="126">
        <v>367217</v>
      </c>
      <c r="D65" s="126">
        <v>337048</v>
      </c>
      <c r="E65" s="126">
        <v>310850</v>
      </c>
    </row>
    <row r="66" spans="1:5">
      <c r="A66" s="413"/>
      <c r="B66" s="80"/>
      <c r="C66" s="102">
        <v>6783737</v>
      </c>
      <c r="D66" s="102">
        <v>7286742</v>
      </c>
      <c r="E66" s="102">
        <v>5027351</v>
      </c>
    </row>
    <row r="67" spans="1:5">
      <c r="A67" s="413"/>
      <c r="B67" s="80"/>
      <c r="C67" s="102"/>
      <c r="D67" s="102"/>
      <c r="E67" s="102"/>
    </row>
    <row r="68" spans="1:5">
      <c r="A68" s="434" t="s">
        <v>352</v>
      </c>
      <c r="B68" s="435"/>
      <c r="C68" s="436">
        <v>19827088</v>
      </c>
      <c r="D68" s="436">
        <v>18668996</v>
      </c>
      <c r="E68" s="436">
        <v>17767203</v>
      </c>
    </row>
    <row r="69" spans="1:5">
      <c r="A69" s="413"/>
      <c r="B69" s="80"/>
      <c r="C69" s="102"/>
      <c r="D69" s="102"/>
      <c r="E69" s="102"/>
    </row>
    <row r="70" spans="1:5">
      <c r="A70" s="432" t="s">
        <v>353</v>
      </c>
      <c r="B70" s="433"/>
      <c r="C70" s="431">
        <v>39183499</v>
      </c>
      <c r="D70" s="431">
        <v>37097477</v>
      </c>
      <c r="E70" s="431">
        <v>35835016</v>
      </c>
    </row>
    <row r="72" spans="1:5">
      <c r="C72" s="145"/>
    </row>
  </sheetData>
  <pageMargins left="0.70866141732283472" right="0.70866141732283472" top="0.74803149606299213" bottom="0.74803149606299213"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1"/>
  <sheetViews>
    <sheetView topLeftCell="A37" zoomScale="90" zoomScaleNormal="90" workbookViewId="0">
      <selection activeCell="F19" sqref="F19"/>
    </sheetView>
  </sheetViews>
  <sheetFormatPr defaultColWidth="9.140625" defaultRowHeight="15"/>
  <cols>
    <col min="1" max="1" width="102.7109375" style="88" customWidth="1"/>
    <col min="2" max="2" width="14.7109375" style="88" customWidth="1"/>
    <col min="3" max="3" width="23.5703125" style="88" customWidth="1"/>
    <col min="4" max="4" width="25.140625" style="88" customWidth="1"/>
    <col min="5" max="16384" width="9.140625" style="88"/>
  </cols>
  <sheetData>
    <row r="1" spans="1:4" ht="20.25">
      <c r="A1" s="86" t="s">
        <v>354</v>
      </c>
      <c r="B1" s="87"/>
      <c r="C1" s="87"/>
      <c r="D1" s="87"/>
    </row>
    <row r="2" spans="1:4" ht="106.5" customHeight="1">
      <c r="A2" s="105" t="s">
        <v>478</v>
      </c>
      <c r="B2" s="89" t="s">
        <v>293</v>
      </c>
      <c r="C2" s="83" t="s">
        <v>972</v>
      </c>
      <c r="D2" s="83" t="s">
        <v>974</v>
      </c>
    </row>
    <row r="3" spans="1:4">
      <c r="A3" s="407" t="s">
        <v>355</v>
      </c>
      <c r="B3" s="91"/>
      <c r="C3" s="92"/>
      <c r="D3" s="255"/>
    </row>
    <row r="4" spans="1:4">
      <c r="A4" s="239" t="s">
        <v>356</v>
      </c>
      <c r="B4" s="93"/>
      <c r="C4" s="94">
        <v>875227</v>
      </c>
      <c r="D4" s="98">
        <v>725367</v>
      </c>
    </row>
    <row r="5" spans="1:4">
      <c r="A5" s="236" t="s">
        <v>357</v>
      </c>
      <c r="B5" s="80"/>
      <c r="C5" s="95">
        <v>-50025</v>
      </c>
      <c r="D5" s="95">
        <v>-45442</v>
      </c>
    </row>
    <row r="6" spans="1:4">
      <c r="A6" s="281" t="s">
        <v>358</v>
      </c>
      <c r="B6" s="91"/>
      <c r="C6" s="96">
        <v>951337</v>
      </c>
      <c r="D6" s="96">
        <v>923542</v>
      </c>
    </row>
    <row r="7" spans="1:4" ht="25.5">
      <c r="A7" s="492" t="s">
        <v>825</v>
      </c>
      <c r="B7" s="91"/>
      <c r="C7" s="95">
        <v>267518</v>
      </c>
      <c r="D7" s="95">
        <v>383849</v>
      </c>
    </row>
    <row r="8" spans="1:4">
      <c r="A8" s="281" t="s">
        <v>359</v>
      </c>
      <c r="B8" s="91"/>
      <c r="C8" s="95">
        <v>-40771</v>
      </c>
      <c r="D8" s="95">
        <v>145456</v>
      </c>
    </row>
    <row r="9" spans="1:4">
      <c r="A9" s="281" t="s">
        <v>360</v>
      </c>
      <c r="B9" s="91"/>
      <c r="C9" s="96">
        <v>116113</v>
      </c>
      <c r="D9" s="96">
        <v>90370</v>
      </c>
    </row>
    <row r="10" spans="1:4">
      <c r="A10" s="281" t="s">
        <v>361</v>
      </c>
      <c r="B10" s="91"/>
      <c r="C10" s="95">
        <v>-3255</v>
      </c>
      <c r="D10" s="95">
        <v>-21209</v>
      </c>
    </row>
    <row r="11" spans="1:4">
      <c r="A11" s="281" t="s">
        <v>362</v>
      </c>
      <c r="B11" s="91" t="s">
        <v>915</v>
      </c>
      <c r="C11" s="95">
        <v>-742481</v>
      </c>
      <c r="D11" s="95">
        <v>-723842</v>
      </c>
    </row>
    <row r="12" spans="1:4">
      <c r="A12" s="281" t="s">
        <v>363</v>
      </c>
      <c r="B12" s="91" t="s">
        <v>915</v>
      </c>
      <c r="C12" s="95">
        <v>-323533</v>
      </c>
      <c r="D12" s="95">
        <v>-220382</v>
      </c>
    </row>
    <row r="13" spans="1:4" ht="39" customHeight="1">
      <c r="A13" s="429" t="s">
        <v>364</v>
      </c>
      <c r="B13" s="430"/>
      <c r="C13" s="426">
        <v>1050130</v>
      </c>
      <c r="D13" s="431">
        <v>1257709</v>
      </c>
    </row>
    <row r="14" spans="1:4">
      <c r="A14" s="97" t="s">
        <v>365</v>
      </c>
      <c r="B14" s="91"/>
      <c r="C14" s="96"/>
      <c r="D14" s="96"/>
    </row>
    <row r="15" spans="1:4" ht="25.5">
      <c r="A15" s="408" t="s">
        <v>366</v>
      </c>
      <c r="B15" s="91" t="s">
        <v>916</v>
      </c>
      <c r="C15" s="95">
        <v>-1919658</v>
      </c>
      <c r="D15" s="95">
        <v>-1749065</v>
      </c>
    </row>
    <row r="16" spans="1:4">
      <c r="A16" s="408" t="s">
        <v>367</v>
      </c>
      <c r="B16" s="91" t="s">
        <v>916</v>
      </c>
      <c r="C16" s="95">
        <v>-10375</v>
      </c>
      <c r="D16" s="95">
        <v>-39815</v>
      </c>
    </row>
    <row r="17" spans="1:4">
      <c r="A17" s="408" t="s">
        <v>368</v>
      </c>
      <c r="B17" s="493"/>
      <c r="C17" s="95">
        <v>-10344</v>
      </c>
      <c r="D17" s="95">
        <v>-9362</v>
      </c>
    </row>
    <row r="18" spans="1:4">
      <c r="A18" s="409" t="s">
        <v>369</v>
      </c>
      <c r="B18" s="493"/>
      <c r="C18" s="98">
        <v>-1940377</v>
      </c>
      <c r="D18" s="98">
        <v>-1798242</v>
      </c>
    </row>
    <row r="19" spans="1:4" ht="25.5">
      <c r="A19" s="408" t="s">
        <v>634</v>
      </c>
      <c r="B19" s="493"/>
      <c r="C19" s="99">
        <v>13255</v>
      </c>
      <c r="D19" s="99">
        <v>10778</v>
      </c>
    </row>
    <row r="20" spans="1:4">
      <c r="A20" s="408" t="s">
        <v>643</v>
      </c>
      <c r="B20" s="91"/>
      <c r="C20" s="99">
        <v>3770</v>
      </c>
      <c r="D20" s="99">
        <v>299100</v>
      </c>
    </row>
    <row r="21" spans="1:4">
      <c r="A21" s="653" t="s">
        <v>641</v>
      </c>
      <c r="B21" s="91"/>
      <c r="C21" s="99">
        <v>32666</v>
      </c>
      <c r="D21" s="99">
        <v>1058</v>
      </c>
    </row>
    <row r="22" spans="1:4">
      <c r="A22" s="408" t="s">
        <v>370</v>
      </c>
      <c r="B22" s="493"/>
      <c r="C22" s="99">
        <v>924</v>
      </c>
      <c r="D22" s="99">
        <v>1723</v>
      </c>
    </row>
    <row r="23" spans="1:4">
      <c r="A23" s="410" t="s">
        <v>371</v>
      </c>
      <c r="B23" s="494"/>
      <c r="C23" s="98">
        <v>50615</v>
      </c>
      <c r="D23" s="98">
        <v>312659</v>
      </c>
    </row>
    <row r="24" spans="1:4" ht="37.5" customHeight="1">
      <c r="A24" s="429" t="s">
        <v>372</v>
      </c>
      <c r="B24" s="428"/>
      <c r="C24" s="426">
        <v>-1889762</v>
      </c>
      <c r="D24" s="426">
        <v>-1485583</v>
      </c>
    </row>
    <row r="25" spans="1:4">
      <c r="A25" s="97" t="s">
        <v>373</v>
      </c>
      <c r="B25" s="91"/>
      <c r="C25" s="96"/>
      <c r="D25" s="96"/>
    </row>
    <row r="26" spans="1:4">
      <c r="A26" s="492" t="s">
        <v>647</v>
      </c>
      <c r="B26" s="91" t="s">
        <v>917</v>
      </c>
      <c r="C26" s="95">
        <v>-670000</v>
      </c>
      <c r="D26" s="495">
        <v>0</v>
      </c>
    </row>
    <row r="27" spans="1:4">
      <c r="A27" s="408" t="s">
        <v>374</v>
      </c>
      <c r="B27" s="91" t="s">
        <v>917</v>
      </c>
      <c r="C27" s="95">
        <v>-58580</v>
      </c>
      <c r="D27" s="95">
        <v>-58539</v>
      </c>
    </row>
    <row r="28" spans="1:4">
      <c r="A28" s="408" t="s">
        <v>375</v>
      </c>
      <c r="B28" s="91" t="s">
        <v>917</v>
      </c>
      <c r="C28" s="95">
        <v>-30013</v>
      </c>
      <c r="D28" s="95">
        <v>-26745</v>
      </c>
    </row>
    <row r="29" spans="1:4">
      <c r="A29" s="408" t="s">
        <v>376</v>
      </c>
      <c r="B29" s="91"/>
      <c r="C29" s="95">
        <v>-42854</v>
      </c>
      <c r="D29" s="95">
        <v>-30866</v>
      </c>
    </row>
    <row r="30" spans="1:4">
      <c r="A30" s="410" t="s">
        <v>369</v>
      </c>
      <c r="B30" s="80"/>
      <c r="C30" s="98">
        <v>-801447</v>
      </c>
      <c r="D30" s="98">
        <v>-116150</v>
      </c>
    </row>
    <row r="31" spans="1:4">
      <c r="A31" s="408" t="s">
        <v>377</v>
      </c>
      <c r="B31" s="80" t="s">
        <v>917</v>
      </c>
      <c r="C31" s="99">
        <v>500000</v>
      </c>
      <c r="D31" s="495">
        <v>0</v>
      </c>
    </row>
    <row r="32" spans="1:4">
      <c r="A32" s="408" t="s">
        <v>912</v>
      </c>
      <c r="B32" s="80" t="s">
        <v>917</v>
      </c>
      <c r="C32" s="99">
        <v>256925</v>
      </c>
      <c r="D32" s="495">
        <v>0</v>
      </c>
    </row>
    <row r="33" spans="1:4">
      <c r="A33" s="408" t="s">
        <v>913</v>
      </c>
      <c r="B33" s="80" t="s">
        <v>917</v>
      </c>
      <c r="C33" s="99">
        <v>1000000</v>
      </c>
      <c r="D33" s="495">
        <v>0</v>
      </c>
    </row>
    <row r="34" spans="1:4">
      <c r="A34" s="408" t="s">
        <v>914</v>
      </c>
      <c r="B34" s="80"/>
      <c r="C34" s="99">
        <v>17718</v>
      </c>
      <c r="D34" s="95">
        <v>7758</v>
      </c>
    </row>
    <row r="35" spans="1:4">
      <c r="A35" s="411" t="s">
        <v>371</v>
      </c>
      <c r="B35" s="233"/>
      <c r="C35" s="101">
        <v>1774643</v>
      </c>
      <c r="D35" s="101">
        <v>7758</v>
      </c>
    </row>
    <row r="36" spans="1:4" ht="29.25" customHeight="1">
      <c r="A36" s="424" t="s">
        <v>378</v>
      </c>
      <c r="B36" s="425"/>
      <c r="C36" s="426">
        <v>973196</v>
      </c>
      <c r="D36" s="426">
        <v>-108392</v>
      </c>
    </row>
    <row r="37" spans="1:4" ht="37.5" customHeight="1">
      <c r="A37" s="427" t="s">
        <v>379</v>
      </c>
      <c r="B37" s="428"/>
      <c r="C37" s="426">
        <v>133564</v>
      </c>
      <c r="D37" s="426">
        <v>-336266</v>
      </c>
    </row>
    <row r="38" spans="1:4">
      <c r="A38" s="404" t="s">
        <v>380</v>
      </c>
      <c r="B38" s="91"/>
      <c r="C38" s="95">
        <v>-1064</v>
      </c>
      <c r="D38" s="95">
        <v>3734</v>
      </c>
    </row>
    <row r="39" spans="1:4">
      <c r="A39" s="405" t="s">
        <v>381</v>
      </c>
      <c r="B39" s="234">
        <v>30</v>
      </c>
      <c r="C39" s="102">
        <v>807972</v>
      </c>
      <c r="D39" s="102">
        <v>801353</v>
      </c>
    </row>
    <row r="40" spans="1:4">
      <c r="A40" s="405" t="s">
        <v>382</v>
      </c>
      <c r="B40" s="234">
        <v>30</v>
      </c>
      <c r="C40" s="102">
        <v>941536</v>
      </c>
      <c r="D40" s="102">
        <v>465087</v>
      </c>
    </row>
    <row r="41" spans="1:4" ht="15.75">
      <c r="A41" s="406" t="s">
        <v>383</v>
      </c>
      <c r="B41" s="233">
        <v>30</v>
      </c>
      <c r="C41" s="103">
        <v>218999</v>
      </c>
      <c r="D41" s="103">
        <v>60371</v>
      </c>
    </row>
  </sheetData>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P227"/>
  <sheetViews>
    <sheetView zoomScale="90" zoomScaleNormal="90" workbookViewId="0">
      <pane xSplit="1" ySplit="4" topLeftCell="AF5" activePane="bottomRight" state="frozen"/>
      <selection activeCell="C154" sqref="C154"/>
      <selection pane="topRight" activeCell="C154" sqref="C154"/>
      <selection pane="bottomLeft" activeCell="C154" sqref="C154"/>
      <selection pane="bottomRight" activeCell="AM209" sqref="AM209"/>
    </sheetView>
  </sheetViews>
  <sheetFormatPr defaultColWidth="12.42578125" defaultRowHeight="15"/>
  <cols>
    <col min="1" max="1" width="101.140625" style="88" customWidth="1"/>
    <col min="2" max="16" width="21.5703125" style="88" customWidth="1"/>
    <col min="17" max="17" width="17.140625" style="88" customWidth="1"/>
    <col min="18" max="18" width="16.28515625" style="88" customWidth="1"/>
    <col min="19" max="19" width="18.140625" style="88" customWidth="1"/>
    <col min="20" max="20" width="17.42578125" style="88" customWidth="1"/>
    <col min="21" max="21" width="17.7109375" style="88" customWidth="1"/>
    <col min="22" max="22" width="16.7109375" style="88" customWidth="1"/>
    <col min="23" max="23" width="17.42578125" style="88" customWidth="1"/>
    <col min="24" max="24" width="17.5703125" style="88" customWidth="1"/>
    <col min="25" max="26" width="16.7109375" style="88" customWidth="1"/>
    <col min="27" max="27" width="17.42578125" style="88" customWidth="1"/>
    <col min="28" max="28" width="17.5703125" style="88" customWidth="1"/>
    <col min="29" max="29" width="16.42578125" style="88" customWidth="1"/>
    <col min="30" max="31" width="23" style="88" customWidth="1"/>
    <col min="32" max="32" width="18.140625" style="88" customWidth="1"/>
    <col min="33" max="33" width="16.85546875" style="88" customWidth="1"/>
    <col min="34" max="34" width="17.5703125" style="88" customWidth="1"/>
    <col min="35" max="35" width="22" style="88" customWidth="1"/>
    <col min="36" max="36" width="19.42578125" style="88" customWidth="1"/>
    <col min="37" max="37" width="17.42578125" style="88" customWidth="1"/>
    <col min="38" max="38" width="20.5703125" style="88" customWidth="1"/>
    <col min="39" max="39" width="16.7109375" style="88" customWidth="1"/>
    <col min="40" max="16384" width="12.42578125" style="88"/>
  </cols>
  <sheetData>
    <row r="1" spans="1:41" ht="20.25">
      <c r="A1" s="86" t="s">
        <v>482</v>
      </c>
      <c r="B1" s="133"/>
      <c r="C1" s="133"/>
      <c r="D1" s="133"/>
      <c r="E1" s="133"/>
      <c r="F1" s="134"/>
      <c r="G1" s="134"/>
      <c r="H1" s="134"/>
      <c r="I1" s="134"/>
      <c r="J1" s="134"/>
      <c r="K1" s="134"/>
      <c r="L1" s="134"/>
      <c r="M1" s="134"/>
      <c r="N1" s="134"/>
      <c r="O1" s="134"/>
      <c r="P1" s="134"/>
    </row>
    <row r="2" spans="1:41" s="138" customFormat="1" ht="15" customHeight="1">
      <c r="A2" s="135" t="s">
        <v>483</v>
      </c>
      <c r="B2" s="136"/>
      <c r="C2" s="136"/>
      <c r="D2" s="136"/>
      <c r="E2" s="136"/>
      <c r="F2" s="137"/>
      <c r="G2" s="137"/>
      <c r="H2" s="137"/>
      <c r="I2" s="137"/>
      <c r="J2" s="137"/>
      <c r="K2" s="137"/>
      <c r="L2" s="137"/>
      <c r="M2" s="137"/>
      <c r="N2" s="137"/>
      <c r="O2" s="137"/>
      <c r="P2" s="137"/>
    </row>
    <row r="3" spans="1:41" ht="63.75">
      <c r="A3" s="139" t="s">
        <v>484</v>
      </c>
      <c r="B3" s="89" t="s">
        <v>485</v>
      </c>
      <c r="C3" s="89" t="s">
        <v>486</v>
      </c>
      <c r="D3" s="89" t="s">
        <v>487</v>
      </c>
      <c r="E3" s="89" t="s">
        <v>488</v>
      </c>
      <c r="F3" s="89" t="s">
        <v>489</v>
      </c>
      <c r="G3" s="89" t="s">
        <v>490</v>
      </c>
      <c r="H3" s="89" t="s">
        <v>491</v>
      </c>
      <c r="I3" s="89" t="s">
        <v>492</v>
      </c>
      <c r="J3" s="89" t="s">
        <v>493</v>
      </c>
      <c r="K3" s="89" t="s">
        <v>494</v>
      </c>
      <c r="L3" s="89" t="s">
        <v>495</v>
      </c>
      <c r="M3" s="140" t="s">
        <v>496</v>
      </c>
      <c r="N3" s="89" t="s">
        <v>497</v>
      </c>
      <c r="O3" s="89" t="s">
        <v>498</v>
      </c>
      <c r="P3" s="89" t="s">
        <v>499</v>
      </c>
      <c r="Q3" s="140" t="s">
        <v>500</v>
      </c>
      <c r="R3" s="89" t="s">
        <v>501</v>
      </c>
      <c r="S3" s="89" t="s">
        <v>502</v>
      </c>
      <c r="T3" s="89" t="s">
        <v>503</v>
      </c>
      <c r="U3" s="89" t="s">
        <v>504</v>
      </c>
      <c r="V3" s="89" t="s">
        <v>505</v>
      </c>
      <c r="W3" s="89" t="s">
        <v>506</v>
      </c>
      <c r="X3" s="89" t="s">
        <v>507</v>
      </c>
      <c r="Y3" s="89" t="s">
        <v>508</v>
      </c>
      <c r="Z3" s="89" t="s">
        <v>509</v>
      </c>
      <c r="AA3" s="89" t="s">
        <v>510</v>
      </c>
      <c r="AB3" s="89" t="s">
        <v>511</v>
      </c>
      <c r="AC3" s="89" t="s">
        <v>512</v>
      </c>
      <c r="AD3" s="89" t="s">
        <v>819</v>
      </c>
      <c r="AE3" s="89" t="s">
        <v>820</v>
      </c>
      <c r="AF3" s="89" t="s">
        <v>513</v>
      </c>
      <c r="AG3" s="89" t="s">
        <v>514</v>
      </c>
      <c r="AH3" s="89" t="s">
        <v>956</v>
      </c>
      <c r="AI3" s="89" t="s">
        <v>822</v>
      </c>
      <c r="AJ3" s="89" t="s">
        <v>888</v>
      </c>
      <c r="AK3" s="89" t="s">
        <v>927</v>
      </c>
      <c r="AL3" s="89" t="s">
        <v>952</v>
      </c>
      <c r="AM3" s="89" t="s">
        <v>981</v>
      </c>
    </row>
    <row r="4" spans="1:41">
      <c r="A4" s="107"/>
      <c r="B4" s="141"/>
      <c r="C4" s="141"/>
      <c r="D4" s="141"/>
      <c r="E4" s="141"/>
      <c r="F4" s="141"/>
      <c r="G4" s="141"/>
      <c r="H4" s="96"/>
      <c r="I4" s="96"/>
      <c r="J4" s="96"/>
      <c r="K4" s="96"/>
      <c r="L4" s="96"/>
      <c r="M4" s="96"/>
      <c r="N4" s="96"/>
      <c r="O4" s="96"/>
      <c r="P4" s="96"/>
      <c r="T4" s="142"/>
      <c r="AD4" s="200"/>
    </row>
    <row r="5" spans="1:41">
      <c r="A5" s="413" t="s">
        <v>953</v>
      </c>
      <c r="B5" s="141">
        <v>3794333</v>
      </c>
      <c r="C5" s="141">
        <v>3465956</v>
      </c>
      <c r="D5" s="141">
        <v>3690586</v>
      </c>
      <c r="E5" s="96">
        <v>4478004</v>
      </c>
      <c r="F5" s="141">
        <v>5299075</v>
      </c>
      <c r="G5" s="141">
        <v>5032069</v>
      </c>
      <c r="H5" s="96">
        <v>4835697</v>
      </c>
      <c r="I5" s="96">
        <v>5588381</v>
      </c>
      <c r="J5" s="96">
        <v>6454853</v>
      </c>
      <c r="K5" s="96">
        <v>5859133</v>
      </c>
      <c r="L5" s="96">
        <v>5900257</v>
      </c>
      <c r="M5" s="96">
        <v>6538742</v>
      </c>
      <c r="N5" s="96">
        <v>5164102</v>
      </c>
      <c r="O5" s="96">
        <f>4542422-32922</f>
        <v>4509500</v>
      </c>
      <c r="P5" s="143">
        <v>4540102</v>
      </c>
      <c r="Q5" s="96">
        <v>4921691</v>
      </c>
      <c r="R5" s="96">
        <v>4929101</v>
      </c>
      <c r="S5" s="96">
        <v>4376349</v>
      </c>
      <c r="T5" s="144">
        <v>4412231</v>
      </c>
      <c r="U5" s="96">
        <v>4837662</v>
      </c>
      <c r="V5" s="96">
        <v>4789785</v>
      </c>
      <c r="W5" s="96">
        <v>4466829</v>
      </c>
      <c r="X5" s="96">
        <v>4377627</v>
      </c>
      <c r="Y5" s="96">
        <v>4740983</v>
      </c>
      <c r="Z5" s="96">
        <v>4564505</v>
      </c>
      <c r="AA5" s="96">
        <v>4276521</v>
      </c>
      <c r="AB5" s="96">
        <v>4150564</v>
      </c>
      <c r="AC5" s="96">
        <v>4654899</v>
      </c>
      <c r="AD5" s="145">
        <v>4591081</v>
      </c>
      <c r="AE5" s="145">
        <v>4166943</v>
      </c>
      <c r="AF5" s="145">
        <v>4115965</v>
      </c>
      <c r="AG5" s="145">
        <v>4550562</v>
      </c>
      <c r="AH5" s="145">
        <v>4636886</v>
      </c>
      <c r="AI5" s="145">
        <f>4376839-376837</f>
        <v>4000002</v>
      </c>
      <c r="AJ5" s="145">
        <v>4476268</v>
      </c>
      <c r="AK5" s="145">
        <v>4819946</v>
      </c>
      <c r="AL5" s="145">
        <v>5312809</v>
      </c>
      <c r="AM5" s="145">
        <v>5085045</v>
      </c>
      <c r="AN5" s="145"/>
      <c r="AO5" s="145"/>
    </row>
    <row r="6" spans="1:41" ht="15.75" customHeight="1">
      <c r="A6" s="413" t="s">
        <v>954</v>
      </c>
      <c r="B6" s="141">
        <v>-3106970</v>
      </c>
      <c r="C6" s="141">
        <v>-2889658</v>
      </c>
      <c r="D6" s="141">
        <v>-3141138</v>
      </c>
      <c r="E6" s="96">
        <v>-3951362</v>
      </c>
      <c r="F6" s="141">
        <v>-4560882</v>
      </c>
      <c r="G6" s="141">
        <v>-4368268</v>
      </c>
      <c r="H6" s="96">
        <v>-4229239</v>
      </c>
      <c r="I6" s="96">
        <v>-5015965</v>
      </c>
      <c r="J6" s="96">
        <v>-5604614</v>
      </c>
      <c r="K6" s="96">
        <v>-4889291</v>
      </c>
      <c r="L6" s="96">
        <v>-5033062</v>
      </c>
      <c r="M6" s="96">
        <v>-5755087</v>
      </c>
      <c r="N6" s="96">
        <v>-4078650</v>
      </c>
      <c r="O6" s="96">
        <f>-3849397+32922</f>
        <v>-3816475</v>
      </c>
      <c r="P6" s="96">
        <v>-3728700</v>
      </c>
      <c r="Q6" s="96">
        <v>-4366636</v>
      </c>
      <c r="R6" s="96">
        <v>-4013978</v>
      </c>
      <c r="S6" s="96">
        <v>-3630345</v>
      </c>
      <c r="T6" s="96">
        <v>-3684221</v>
      </c>
      <c r="U6" s="96">
        <v>-4298099</v>
      </c>
      <c r="V6" s="96">
        <v>-3963914</v>
      </c>
      <c r="W6" s="96">
        <v>-3648361</v>
      </c>
      <c r="X6" s="96">
        <v>-3635702</v>
      </c>
      <c r="Y6" s="96">
        <v>-7892798</v>
      </c>
      <c r="Z6" s="96">
        <v>-3842319</v>
      </c>
      <c r="AA6" s="96">
        <v>-4335018</v>
      </c>
      <c r="AB6" s="96">
        <v>-3513313</v>
      </c>
      <c r="AC6" s="96">
        <v>-4026812</v>
      </c>
      <c r="AD6" s="145">
        <v>-3556087</v>
      </c>
      <c r="AE6" s="145">
        <v>-3460687</v>
      </c>
      <c r="AF6" s="145">
        <v>-3502389</v>
      </c>
      <c r="AG6" s="145">
        <v>-3993044</v>
      </c>
      <c r="AH6" s="145">
        <v>-3691505</v>
      </c>
      <c r="AI6" s="145">
        <f>-4046635+376837</f>
        <v>-3669798</v>
      </c>
      <c r="AJ6" s="145">
        <v>-3813413</v>
      </c>
      <c r="AK6" s="145">
        <v>-5073785</v>
      </c>
      <c r="AL6" s="145">
        <v>-4377720</v>
      </c>
      <c r="AM6" s="145">
        <v>-4572304</v>
      </c>
      <c r="AN6" s="145"/>
      <c r="AO6" s="145"/>
    </row>
    <row r="7" spans="1:41" s="567" customFormat="1">
      <c r="A7" s="106" t="s">
        <v>516</v>
      </c>
      <c r="B7" s="559">
        <v>687363</v>
      </c>
      <c r="C7" s="559">
        <v>576298</v>
      </c>
      <c r="D7" s="559">
        <v>549448</v>
      </c>
      <c r="E7" s="123">
        <v>526642</v>
      </c>
      <c r="F7" s="559">
        <v>738193</v>
      </c>
      <c r="G7" s="559">
        <v>663801</v>
      </c>
      <c r="H7" s="123">
        <v>606458</v>
      </c>
      <c r="I7" s="123">
        <v>572416</v>
      </c>
      <c r="J7" s="123">
        <v>850239</v>
      </c>
      <c r="K7" s="123">
        <v>969842</v>
      </c>
      <c r="L7" s="123">
        <v>867195</v>
      </c>
      <c r="M7" s="123">
        <v>783655</v>
      </c>
      <c r="N7" s="123">
        <v>1085452</v>
      </c>
      <c r="O7" s="123">
        <v>693025</v>
      </c>
      <c r="P7" s="123">
        <v>811402</v>
      </c>
      <c r="Q7" s="123">
        <v>555055</v>
      </c>
      <c r="R7" s="123">
        <v>915123</v>
      </c>
      <c r="S7" s="123">
        <v>746004</v>
      </c>
      <c r="T7" s="566">
        <v>728010</v>
      </c>
      <c r="U7" s="123">
        <v>539563</v>
      </c>
      <c r="V7" s="123">
        <v>825871</v>
      </c>
      <c r="W7" s="123">
        <v>818468</v>
      </c>
      <c r="X7" s="123">
        <v>741925</v>
      </c>
      <c r="Y7" s="123">
        <v>-3151815</v>
      </c>
      <c r="Z7" s="123">
        <v>722186</v>
      </c>
      <c r="AA7" s="123">
        <v>-58497</v>
      </c>
      <c r="AB7" s="123">
        <v>637251</v>
      </c>
      <c r="AC7" s="123">
        <v>628087</v>
      </c>
      <c r="AD7" s="259">
        <v>1034994</v>
      </c>
      <c r="AE7" s="259">
        <v>706256</v>
      </c>
      <c r="AF7" s="259">
        <v>613576</v>
      </c>
      <c r="AG7" s="259">
        <v>557518</v>
      </c>
      <c r="AH7" s="259">
        <v>945381</v>
      </c>
      <c r="AI7" s="259">
        <v>330204</v>
      </c>
      <c r="AJ7" s="259">
        <v>662855</v>
      </c>
      <c r="AK7" s="259">
        <v>-253839</v>
      </c>
      <c r="AL7" s="259">
        <v>935089</v>
      </c>
      <c r="AM7" s="259">
        <v>512741</v>
      </c>
      <c r="AN7" s="259"/>
      <c r="AO7" s="145"/>
    </row>
    <row r="8" spans="1:41">
      <c r="A8" s="131" t="s">
        <v>517</v>
      </c>
      <c r="B8" s="141">
        <v>31761</v>
      </c>
      <c r="C8" s="141">
        <v>20882</v>
      </c>
      <c r="D8" s="141">
        <v>19742</v>
      </c>
      <c r="E8" s="96">
        <v>32801</v>
      </c>
      <c r="F8" s="141">
        <v>19346</v>
      </c>
      <c r="G8" s="141">
        <v>25112</v>
      </c>
      <c r="H8" s="96">
        <v>21453</v>
      </c>
      <c r="I8" s="96">
        <v>33535</v>
      </c>
      <c r="J8" s="96">
        <v>26438</v>
      </c>
      <c r="K8" s="96">
        <v>22362</v>
      </c>
      <c r="L8" s="96">
        <v>28360</v>
      </c>
      <c r="M8" s="96">
        <v>41741</v>
      </c>
      <c r="N8" s="96">
        <v>26739</v>
      </c>
      <c r="O8" s="96">
        <v>36343</v>
      </c>
      <c r="P8" s="96">
        <v>21047</v>
      </c>
      <c r="Q8" s="96">
        <v>43307</v>
      </c>
      <c r="R8" s="96">
        <v>34668</v>
      </c>
      <c r="S8" s="96">
        <v>45133</v>
      </c>
      <c r="T8" s="144">
        <v>59201</v>
      </c>
      <c r="U8" s="96">
        <v>94304</v>
      </c>
      <c r="V8" s="96">
        <v>42808</v>
      </c>
      <c r="W8" s="96">
        <v>30514</v>
      </c>
      <c r="X8" s="96">
        <v>67797</v>
      </c>
      <c r="Y8" s="96">
        <v>30236</v>
      </c>
      <c r="Z8" s="672" t="s">
        <v>597</v>
      </c>
      <c r="AA8" s="673"/>
      <c r="AB8" s="673"/>
      <c r="AC8" s="673"/>
      <c r="AD8" s="673"/>
      <c r="AE8" s="673"/>
      <c r="AF8" s="673"/>
      <c r="AG8" s="673"/>
      <c r="AH8" s="673"/>
      <c r="AI8" s="673"/>
      <c r="AJ8" s="673"/>
      <c r="AK8" s="673"/>
      <c r="AL8" s="673"/>
      <c r="AM8" s="673"/>
      <c r="AO8" s="145"/>
    </row>
    <row r="9" spans="1:41">
      <c r="A9" s="131" t="s">
        <v>518</v>
      </c>
      <c r="B9" s="141">
        <v>-52512</v>
      </c>
      <c r="C9" s="141">
        <v>-56702</v>
      </c>
      <c r="D9" s="141">
        <v>-56309</v>
      </c>
      <c r="E9" s="96">
        <v>-65729</v>
      </c>
      <c r="F9" s="141">
        <v>-72231</v>
      </c>
      <c r="G9" s="141">
        <v>-78559</v>
      </c>
      <c r="H9" s="96">
        <v>-52175</v>
      </c>
      <c r="I9" s="96">
        <v>-80417</v>
      </c>
      <c r="J9" s="96">
        <v>-116780</v>
      </c>
      <c r="K9" s="96">
        <v>-114194</v>
      </c>
      <c r="L9" s="96">
        <v>-110857</v>
      </c>
      <c r="M9" s="96">
        <v>-210460</v>
      </c>
      <c r="N9" s="96">
        <v>-135865</v>
      </c>
      <c r="O9" s="96">
        <v>-134308</v>
      </c>
      <c r="P9" s="96">
        <v>-127343</v>
      </c>
      <c r="Q9" s="96">
        <v>-155986</v>
      </c>
      <c r="R9" s="96">
        <v>-123000</v>
      </c>
      <c r="S9" s="96">
        <v>-134189</v>
      </c>
      <c r="T9" s="96">
        <v>-144298</v>
      </c>
      <c r="U9" s="96">
        <v>-147677</v>
      </c>
      <c r="V9" s="96">
        <v>-107668</v>
      </c>
      <c r="W9" s="96">
        <v>-130164</v>
      </c>
      <c r="X9" s="96">
        <v>-122113</v>
      </c>
      <c r="Y9" s="96">
        <v>-128914</v>
      </c>
      <c r="Z9" s="96">
        <v>-107069</v>
      </c>
      <c r="AA9" s="96">
        <v>-110520</v>
      </c>
      <c r="AB9" s="96">
        <v>-112586</v>
      </c>
      <c r="AC9" s="96">
        <v>-129016</v>
      </c>
      <c r="AD9" s="145">
        <v>-110209</v>
      </c>
      <c r="AE9" s="145">
        <v>-115318</v>
      </c>
      <c r="AF9" s="145">
        <v>-118242</v>
      </c>
      <c r="AG9" s="145">
        <v>-147860</v>
      </c>
      <c r="AH9" s="145">
        <v>-112269</v>
      </c>
      <c r="AI9" s="145">
        <v>-116053</v>
      </c>
      <c r="AJ9" s="145">
        <v>-124117</v>
      </c>
      <c r="AK9" s="145">
        <v>-125355</v>
      </c>
      <c r="AL9" s="145">
        <v>-106695</v>
      </c>
      <c r="AM9" s="145">
        <v>-125106</v>
      </c>
      <c r="AO9" s="145"/>
    </row>
    <row r="10" spans="1:41">
      <c r="A10" s="131" t="s">
        <v>296</v>
      </c>
      <c r="B10" s="141">
        <v>-144596</v>
      </c>
      <c r="C10" s="141">
        <v>-196024</v>
      </c>
      <c r="D10" s="141">
        <v>-149663</v>
      </c>
      <c r="E10" s="96">
        <v>-180025</v>
      </c>
      <c r="F10" s="141">
        <v>-146521</v>
      </c>
      <c r="G10" s="141">
        <v>-162051</v>
      </c>
      <c r="H10" s="96">
        <v>-174890</v>
      </c>
      <c r="I10" s="96">
        <v>-180508</v>
      </c>
      <c r="J10" s="96">
        <v>-178971</v>
      </c>
      <c r="K10" s="96">
        <v>-160908</v>
      </c>
      <c r="L10" s="96">
        <v>-172242</v>
      </c>
      <c r="M10" s="96">
        <v>-222633</v>
      </c>
      <c r="N10" s="96">
        <v>-169590</v>
      </c>
      <c r="O10" s="96">
        <v>-172464</v>
      </c>
      <c r="P10" s="96">
        <v>-165231</v>
      </c>
      <c r="Q10" s="96">
        <v>-138121</v>
      </c>
      <c r="R10" s="96">
        <v>-167391</v>
      </c>
      <c r="S10" s="96">
        <v>-164808</v>
      </c>
      <c r="T10" s="96">
        <v>-159428</v>
      </c>
      <c r="U10" s="96">
        <v>-172560</v>
      </c>
      <c r="V10" s="96">
        <v>-156212</v>
      </c>
      <c r="W10" s="96">
        <v>-156612</v>
      </c>
      <c r="X10" s="96">
        <v>-153669</v>
      </c>
      <c r="Y10" s="96">
        <v>-152476</v>
      </c>
      <c r="Z10" s="96">
        <v>-167643</v>
      </c>
      <c r="AA10" s="96">
        <v>-150336</v>
      </c>
      <c r="AB10" s="96">
        <v>-154810</v>
      </c>
      <c r="AC10" s="96">
        <v>-180038</v>
      </c>
      <c r="AD10" s="145">
        <v>-153492</v>
      </c>
      <c r="AE10" s="145">
        <v>-151071</v>
      </c>
      <c r="AF10" s="145">
        <v>-150803</v>
      </c>
      <c r="AG10" s="145">
        <v>-154999</v>
      </c>
      <c r="AH10" s="145">
        <v>-122903</v>
      </c>
      <c r="AI10" s="145">
        <v>-160702</v>
      </c>
      <c r="AJ10" s="145">
        <v>-202425</v>
      </c>
      <c r="AK10" s="145">
        <v>-145457</v>
      </c>
      <c r="AL10" s="145">
        <v>-154874</v>
      </c>
      <c r="AM10" s="145">
        <v>-144229</v>
      </c>
      <c r="AO10" s="145"/>
    </row>
    <row r="11" spans="1:41">
      <c r="A11" s="131" t="s">
        <v>519</v>
      </c>
      <c r="B11" s="141">
        <v>-45970</v>
      </c>
      <c r="C11" s="141">
        <v>-37749</v>
      </c>
      <c r="D11" s="141">
        <v>-18041</v>
      </c>
      <c r="E11" s="96">
        <v>-42358</v>
      </c>
      <c r="F11" s="141">
        <v>-27792</v>
      </c>
      <c r="G11" s="141">
        <v>-21220</v>
      </c>
      <c r="H11" s="96">
        <v>-17984</v>
      </c>
      <c r="I11" s="96">
        <v>-20462</v>
      </c>
      <c r="J11" s="96">
        <v>-22386</v>
      </c>
      <c r="K11" s="96">
        <v>-22237</v>
      </c>
      <c r="L11" s="96">
        <v>-33285</v>
      </c>
      <c r="M11" s="96">
        <v>-59750</v>
      </c>
      <c r="N11" s="96">
        <v>-17336</v>
      </c>
      <c r="O11" s="96">
        <v>-22222</v>
      </c>
      <c r="P11" s="96">
        <v>-16273</v>
      </c>
      <c r="Q11" s="96">
        <v>-79292</v>
      </c>
      <c r="R11" s="96">
        <v>-26966</v>
      </c>
      <c r="S11" s="96">
        <v>-42120</v>
      </c>
      <c r="T11" s="96">
        <v>-18998</v>
      </c>
      <c r="U11" s="96">
        <v>-30458</v>
      </c>
      <c r="V11" s="96">
        <v>-19228</v>
      </c>
      <c r="W11" s="96">
        <v>-103475</v>
      </c>
      <c r="X11" s="96">
        <v>-45982</v>
      </c>
      <c r="Y11" s="96">
        <v>-30432</v>
      </c>
      <c r="Z11" s="672" t="s">
        <v>597</v>
      </c>
      <c r="AA11" s="673"/>
      <c r="AB11" s="673"/>
      <c r="AC11" s="673"/>
      <c r="AD11" s="673"/>
      <c r="AE11" s="673"/>
      <c r="AF11" s="673"/>
      <c r="AG11" s="673"/>
      <c r="AH11" s="673"/>
      <c r="AI11" s="673"/>
      <c r="AJ11" s="673"/>
      <c r="AK11" s="673"/>
      <c r="AL11" s="673"/>
      <c r="AM11" s="673"/>
      <c r="AO11" s="145"/>
    </row>
    <row r="12" spans="1:41">
      <c r="A12" s="131" t="s">
        <v>984</v>
      </c>
      <c r="B12" s="672" t="s">
        <v>597</v>
      </c>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111">
        <v>9706</v>
      </c>
      <c r="AA12" s="111">
        <v>5587</v>
      </c>
      <c r="AB12" s="111">
        <v>12686</v>
      </c>
      <c r="AC12" s="111">
        <v>-43466</v>
      </c>
      <c r="AD12" s="111">
        <v>2260</v>
      </c>
      <c r="AE12" s="111">
        <v>23774</v>
      </c>
      <c r="AF12" s="111">
        <v>-1985</v>
      </c>
      <c r="AG12" s="111">
        <v>-28128</v>
      </c>
      <c r="AH12" s="111">
        <v>140035</v>
      </c>
      <c r="AI12" s="111">
        <v>5749</v>
      </c>
      <c r="AJ12" s="111">
        <v>19184</v>
      </c>
      <c r="AK12" s="111">
        <v>-4449</v>
      </c>
      <c r="AL12" s="111">
        <v>11624</v>
      </c>
      <c r="AM12" s="111">
        <v>10048</v>
      </c>
      <c r="AO12" s="145"/>
    </row>
    <row r="13" spans="1:41">
      <c r="A13" s="131" t="s">
        <v>520</v>
      </c>
      <c r="B13" s="682" t="s">
        <v>521</v>
      </c>
      <c r="C13" s="683"/>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145">
        <v>37241</v>
      </c>
      <c r="AE13" s="96">
        <v>21089</v>
      </c>
      <c r="AF13" s="145">
        <v>11205</v>
      </c>
      <c r="AG13" s="145">
        <v>3515</v>
      </c>
      <c r="AH13" s="145">
        <v>25242</v>
      </c>
      <c r="AI13" s="145">
        <v>20200</v>
      </c>
      <c r="AJ13" s="145">
        <v>-4779</v>
      </c>
      <c r="AK13" s="145">
        <v>14227</v>
      </c>
      <c r="AL13" s="145">
        <v>42823</v>
      </c>
      <c r="AM13" s="145">
        <v>7202</v>
      </c>
      <c r="AO13" s="145"/>
    </row>
    <row r="14" spans="1:41" s="567" customFormat="1">
      <c r="A14" s="106" t="s">
        <v>522</v>
      </c>
      <c r="B14" s="559">
        <v>476046</v>
      </c>
      <c r="C14" s="559">
        <v>306705</v>
      </c>
      <c r="D14" s="559">
        <v>345177</v>
      </c>
      <c r="E14" s="123">
        <v>271331</v>
      </c>
      <c r="F14" s="559">
        <v>510995</v>
      </c>
      <c r="G14" s="559">
        <v>427083</v>
      </c>
      <c r="H14" s="123">
        <v>382862</v>
      </c>
      <c r="I14" s="123">
        <v>324564</v>
      </c>
      <c r="J14" s="123">
        <v>558540</v>
      </c>
      <c r="K14" s="123">
        <v>694865</v>
      </c>
      <c r="L14" s="123">
        <v>579171</v>
      </c>
      <c r="M14" s="123">
        <v>332553</v>
      </c>
      <c r="N14" s="123">
        <v>789400</v>
      </c>
      <c r="O14" s="123">
        <v>400374</v>
      </c>
      <c r="P14" s="123">
        <v>523602</v>
      </c>
      <c r="Q14" s="123">
        <v>224963</v>
      </c>
      <c r="R14" s="123">
        <v>632434</v>
      </c>
      <c r="S14" s="123">
        <v>450020</v>
      </c>
      <c r="T14" s="566">
        <v>464487</v>
      </c>
      <c r="U14" s="123">
        <v>283172</v>
      </c>
      <c r="V14" s="123">
        <v>585571</v>
      </c>
      <c r="W14" s="123">
        <v>458731</v>
      </c>
      <c r="X14" s="123">
        <v>487958</v>
      </c>
      <c r="Y14" s="123">
        <v>-3433401</v>
      </c>
      <c r="Z14" s="123">
        <v>457180</v>
      </c>
      <c r="AA14" s="123">
        <v>-313766</v>
      </c>
      <c r="AB14" s="123">
        <v>382541</v>
      </c>
      <c r="AC14" s="123">
        <v>275567</v>
      </c>
      <c r="AD14" s="259">
        <v>810794</v>
      </c>
      <c r="AE14" s="123">
        <v>484730</v>
      </c>
      <c r="AF14" s="259">
        <f>AF7+AF9+AF10+AF12+AF13</f>
        <v>353751</v>
      </c>
      <c r="AG14" s="259">
        <f>AG7+AG9+AG10+AG12+AG13</f>
        <v>230046</v>
      </c>
      <c r="AH14" s="259">
        <v>875486</v>
      </c>
      <c r="AI14" s="259">
        <v>79398</v>
      </c>
      <c r="AJ14" s="259">
        <v>350718</v>
      </c>
      <c r="AK14" s="259">
        <v>-514873</v>
      </c>
      <c r="AL14" s="259">
        <v>727967</v>
      </c>
      <c r="AM14" s="259">
        <v>260656</v>
      </c>
      <c r="AO14" s="145"/>
    </row>
    <row r="15" spans="1:41">
      <c r="A15" s="131" t="s">
        <v>523</v>
      </c>
      <c r="B15" s="141">
        <v>26239</v>
      </c>
      <c r="C15" s="141">
        <v>17544</v>
      </c>
      <c r="D15" s="141">
        <v>21350</v>
      </c>
      <c r="E15" s="96">
        <v>27151</v>
      </c>
      <c r="F15" s="141">
        <v>22479</v>
      </c>
      <c r="G15" s="141">
        <v>32342</v>
      </c>
      <c r="H15" s="96">
        <v>28441</v>
      </c>
      <c r="I15" s="96">
        <v>32505</v>
      </c>
      <c r="J15" s="96">
        <v>31877</v>
      </c>
      <c r="K15" s="96">
        <v>21460</v>
      </c>
      <c r="L15" s="96">
        <v>43543</v>
      </c>
      <c r="M15" s="96">
        <v>34426</v>
      </c>
      <c r="N15" s="96">
        <v>27038</v>
      </c>
      <c r="O15" s="96">
        <v>31625</v>
      </c>
      <c r="P15" s="96">
        <v>17422</v>
      </c>
      <c r="Q15" s="96">
        <v>23172</v>
      </c>
      <c r="R15" s="96">
        <v>13071</v>
      </c>
      <c r="S15" s="96">
        <v>15890</v>
      </c>
      <c r="T15" s="144">
        <v>12597</v>
      </c>
      <c r="U15" s="96">
        <v>44640</v>
      </c>
      <c r="V15" s="96">
        <v>59058</v>
      </c>
      <c r="W15" s="96">
        <v>-16980</v>
      </c>
      <c r="X15" s="96">
        <v>17628</v>
      </c>
      <c r="Y15" s="96">
        <v>13746</v>
      </c>
      <c r="Z15" s="672" t="s">
        <v>597</v>
      </c>
      <c r="AA15" s="673"/>
      <c r="AB15" s="673"/>
      <c r="AC15" s="673"/>
      <c r="AD15" s="673"/>
      <c r="AE15" s="673"/>
      <c r="AF15" s="673"/>
      <c r="AG15" s="673"/>
      <c r="AH15" s="673"/>
      <c r="AI15" s="673"/>
      <c r="AJ15" s="673"/>
      <c r="AK15" s="673"/>
      <c r="AL15" s="673"/>
      <c r="AM15" s="673"/>
      <c r="AO15" s="145"/>
    </row>
    <row r="16" spans="1:41">
      <c r="A16" s="131" t="s">
        <v>524</v>
      </c>
      <c r="B16" s="141">
        <v>-52556</v>
      </c>
      <c r="C16" s="141">
        <v>-52520</v>
      </c>
      <c r="D16" s="141">
        <v>-42405</v>
      </c>
      <c r="E16" s="96">
        <v>-86512</v>
      </c>
      <c r="F16" s="141">
        <v>-46437</v>
      </c>
      <c r="G16" s="141">
        <v>-31058</v>
      </c>
      <c r="H16" s="96">
        <v>-44508</v>
      </c>
      <c r="I16" s="96">
        <v>-38271</v>
      </c>
      <c r="J16" s="96">
        <v>-91205</v>
      </c>
      <c r="K16" s="96">
        <v>-72510</v>
      </c>
      <c r="L16" s="96">
        <v>-85526</v>
      </c>
      <c r="M16" s="96">
        <v>-97883</v>
      </c>
      <c r="N16" s="96">
        <v>-78442</v>
      </c>
      <c r="O16" s="96">
        <v>-82427</v>
      </c>
      <c r="P16" s="96">
        <v>-81285</v>
      </c>
      <c r="Q16" s="96">
        <v>-104839</v>
      </c>
      <c r="R16" s="96">
        <v>-87509</v>
      </c>
      <c r="S16" s="96">
        <v>-97587</v>
      </c>
      <c r="T16" s="96">
        <v>-89731</v>
      </c>
      <c r="U16" s="96">
        <v>-142333</v>
      </c>
      <c r="V16" s="96">
        <v>-90656</v>
      </c>
      <c r="W16" s="96">
        <v>-141791</v>
      </c>
      <c r="X16" s="96">
        <v>-46150</v>
      </c>
      <c r="Y16" s="96">
        <v>-89418</v>
      </c>
      <c r="Z16" s="673"/>
      <c r="AA16" s="673"/>
      <c r="AB16" s="673"/>
      <c r="AC16" s="673"/>
      <c r="AD16" s="673"/>
      <c r="AE16" s="673"/>
      <c r="AF16" s="673"/>
      <c r="AG16" s="673"/>
      <c r="AH16" s="673"/>
      <c r="AI16" s="673"/>
      <c r="AJ16" s="673"/>
      <c r="AK16" s="673"/>
      <c r="AL16" s="673"/>
      <c r="AM16" s="673"/>
      <c r="AO16" s="145"/>
    </row>
    <row r="17" spans="1:41">
      <c r="A17" s="131" t="s">
        <v>300</v>
      </c>
      <c r="B17" s="672" t="s">
        <v>597</v>
      </c>
      <c r="C17" s="690"/>
      <c r="D17" s="690"/>
      <c r="E17" s="690"/>
      <c r="F17" s="690"/>
      <c r="G17" s="690"/>
      <c r="H17" s="690"/>
      <c r="I17" s="690"/>
      <c r="J17" s="690"/>
      <c r="K17" s="690"/>
      <c r="L17" s="690"/>
      <c r="M17" s="690"/>
      <c r="N17" s="690"/>
      <c r="O17" s="690"/>
      <c r="P17" s="690"/>
      <c r="Q17" s="690"/>
      <c r="R17" s="690"/>
      <c r="S17" s="690"/>
      <c r="T17" s="690"/>
      <c r="U17" s="690"/>
      <c r="V17" s="690"/>
      <c r="W17" s="690"/>
      <c r="X17" s="690"/>
      <c r="Y17" s="690"/>
      <c r="Z17" s="96">
        <v>-72739</v>
      </c>
      <c r="AA17" s="96">
        <v>-65220</v>
      </c>
      <c r="AB17" s="96">
        <v>-62647</v>
      </c>
      <c r="AC17" s="96">
        <v>-58958</v>
      </c>
      <c r="AD17" s="96">
        <v>-50073</v>
      </c>
      <c r="AE17" s="96">
        <v>-48904</v>
      </c>
      <c r="AF17" s="145">
        <v>-57225</v>
      </c>
      <c r="AG17" s="145">
        <f>209322-AF17-AE17-AD17</f>
        <v>365524</v>
      </c>
      <c r="AH17" s="145">
        <v>-38403</v>
      </c>
      <c r="AI17" s="145">
        <f>'Hist. dane półr. - H figures'!R17-'Hist. dane kwart. - Q figures'!AH17</f>
        <v>-43027</v>
      </c>
      <c r="AJ17" s="145">
        <v>-40716</v>
      </c>
      <c r="AK17" s="145">
        <v>-25226</v>
      </c>
      <c r="AL17" s="145">
        <v>-54882</v>
      </c>
      <c r="AM17" s="145">
        <v>-58519</v>
      </c>
      <c r="AO17" s="145"/>
    </row>
    <row r="18" spans="1:41">
      <c r="A18" s="131" t="s">
        <v>905</v>
      </c>
      <c r="B18" s="690"/>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96">
        <v>4119</v>
      </c>
      <c r="AA18" s="96">
        <v>-36760</v>
      </c>
      <c r="AB18" s="96">
        <v>-1260</v>
      </c>
      <c r="AC18" s="96">
        <v>-59236</v>
      </c>
      <c r="AD18" s="96">
        <v>58386</v>
      </c>
      <c r="AE18" s="96">
        <v>-14341</v>
      </c>
      <c r="AF18" s="145">
        <v>-55463</v>
      </c>
      <c r="AG18" s="145">
        <f>87653-AF18-AE18-AD18</f>
        <v>99071</v>
      </c>
      <c r="AH18" s="145">
        <v>-45985</v>
      </c>
      <c r="AI18" s="145">
        <f>'Hist. dane półr. - H figures'!R18-'Hist. dane kwart. - Q figures'!AH18</f>
        <v>-102102</v>
      </c>
      <c r="AJ18" s="145">
        <v>52826</v>
      </c>
      <c r="AK18" s="145">
        <v>-43449</v>
      </c>
      <c r="AL18" s="145">
        <v>-18873</v>
      </c>
      <c r="AM18" s="145">
        <v>18878</v>
      </c>
      <c r="AO18" s="145"/>
    </row>
    <row r="19" spans="1:41">
      <c r="A19" s="185" t="s">
        <v>520</v>
      </c>
      <c r="B19" s="146">
        <v>0</v>
      </c>
      <c r="C19" s="146">
        <v>0</v>
      </c>
      <c r="D19" s="146">
        <v>0</v>
      </c>
      <c r="E19" s="96">
        <v>-236</v>
      </c>
      <c r="F19" s="141">
        <v>-297</v>
      </c>
      <c r="G19" s="141">
        <v>-242</v>
      </c>
      <c r="H19" s="96">
        <v>-188</v>
      </c>
      <c r="I19" s="96">
        <v>-319</v>
      </c>
      <c r="J19" s="96">
        <v>-354</v>
      </c>
      <c r="K19" s="96">
        <v>-317</v>
      </c>
      <c r="L19" s="96">
        <v>-302</v>
      </c>
      <c r="M19" s="96">
        <v>-761</v>
      </c>
      <c r="N19" s="96">
        <v>-869</v>
      </c>
      <c r="O19" s="96">
        <v>-545</v>
      </c>
      <c r="P19" s="96">
        <v>-506</v>
      </c>
      <c r="Q19" s="96">
        <v>-789</v>
      </c>
      <c r="R19" s="96">
        <v>-406</v>
      </c>
      <c r="S19" s="96">
        <v>-370</v>
      </c>
      <c r="T19" s="96">
        <v>-400</v>
      </c>
      <c r="U19" s="96">
        <v>240</v>
      </c>
      <c r="V19" s="96">
        <v>20400</v>
      </c>
      <c r="W19" s="96">
        <v>-15530</v>
      </c>
      <c r="X19" s="96">
        <v>-4560</v>
      </c>
      <c r="Y19" s="96">
        <v>7623</v>
      </c>
      <c r="Z19" s="96">
        <v>23035</v>
      </c>
      <c r="AA19" s="96">
        <v>36826</v>
      </c>
      <c r="AB19" s="96">
        <v>18477</v>
      </c>
      <c r="AC19" s="96">
        <v>-18298</v>
      </c>
      <c r="AD19" s="674" t="s">
        <v>525</v>
      </c>
      <c r="AE19" s="673"/>
      <c r="AF19" s="673"/>
      <c r="AG19" s="673"/>
      <c r="AH19" s="674" t="s">
        <v>526</v>
      </c>
      <c r="AI19" s="675"/>
      <c r="AJ19" s="673"/>
      <c r="AK19" s="673"/>
      <c r="AL19" s="673"/>
      <c r="AM19" s="673"/>
      <c r="AO19" s="145"/>
    </row>
    <row r="20" spans="1:41">
      <c r="A20" s="107" t="s">
        <v>527</v>
      </c>
      <c r="B20" s="141">
        <v>449729</v>
      </c>
      <c r="C20" s="141">
        <v>271729</v>
      </c>
      <c r="D20" s="141">
        <v>324122</v>
      </c>
      <c r="E20" s="96">
        <v>211734</v>
      </c>
      <c r="F20" s="141">
        <v>486740</v>
      </c>
      <c r="G20" s="141">
        <v>428125</v>
      </c>
      <c r="H20" s="96">
        <v>366607</v>
      </c>
      <c r="I20" s="96">
        <v>318479</v>
      </c>
      <c r="J20" s="96">
        <v>498858</v>
      </c>
      <c r="K20" s="96">
        <v>643498</v>
      </c>
      <c r="L20" s="96">
        <v>536886</v>
      </c>
      <c r="M20" s="96">
        <v>268335</v>
      </c>
      <c r="N20" s="96">
        <v>737127</v>
      </c>
      <c r="O20" s="96">
        <v>349027</v>
      </c>
      <c r="P20" s="96">
        <v>459233</v>
      </c>
      <c r="Q20" s="96">
        <v>142507</v>
      </c>
      <c r="R20" s="96">
        <v>557590</v>
      </c>
      <c r="S20" s="96">
        <v>367953</v>
      </c>
      <c r="T20" s="144">
        <v>386953</v>
      </c>
      <c r="U20" s="96">
        <v>185719</v>
      </c>
      <c r="V20" s="96">
        <v>574373</v>
      </c>
      <c r="W20" s="96">
        <v>284430</v>
      </c>
      <c r="X20" s="96">
        <v>454876</v>
      </c>
      <c r="Y20" s="96">
        <v>-3501450</v>
      </c>
      <c r="Z20" s="96">
        <v>411595</v>
      </c>
      <c r="AA20" s="96">
        <v>-378920</v>
      </c>
      <c r="AB20" s="96">
        <v>337111</v>
      </c>
      <c r="AC20" s="96">
        <v>139075</v>
      </c>
      <c r="AD20" s="96">
        <v>819107</v>
      </c>
      <c r="AE20" s="96">
        <v>421485</v>
      </c>
      <c r="AF20" s="145">
        <v>241063</v>
      </c>
      <c r="AG20" s="145">
        <v>275997</v>
      </c>
      <c r="AH20" s="145">
        <v>791098</v>
      </c>
      <c r="AI20" s="145">
        <v>-65731</v>
      </c>
      <c r="AJ20" s="145">
        <v>362828</v>
      </c>
      <c r="AK20" s="145">
        <v>-583548</v>
      </c>
      <c r="AL20" s="145">
        <v>654212</v>
      </c>
      <c r="AM20" s="145">
        <v>221015</v>
      </c>
      <c r="AO20" s="145"/>
    </row>
    <row r="21" spans="1:41">
      <c r="A21" s="131" t="s">
        <v>528</v>
      </c>
      <c r="B21" s="141">
        <v>-90142</v>
      </c>
      <c r="C21" s="141">
        <v>-58355</v>
      </c>
      <c r="D21" s="141">
        <v>-72019</v>
      </c>
      <c r="E21" s="96">
        <v>-45415</v>
      </c>
      <c r="F21" s="141">
        <v>-98769</v>
      </c>
      <c r="G21" s="141">
        <v>-88149</v>
      </c>
      <c r="H21" s="96">
        <v>-74198</v>
      </c>
      <c r="I21" s="96">
        <v>-71901</v>
      </c>
      <c r="J21" s="96">
        <v>-104161</v>
      </c>
      <c r="K21" s="96">
        <v>-147974</v>
      </c>
      <c r="L21" s="96">
        <v>-94038</v>
      </c>
      <c r="M21" s="96">
        <v>-50605</v>
      </c>
      <c r="N21" s="96">
        <v>-156329</v>
      </c>
      <c r="O21" s="96">
        <v>-37943</v>
      </c>
      <c r="P21" s="96">
        <v>-86928</v>
      </c>
      <c r="Q21" s="96">
        <v>-56748</v>
      </c>
      <c r="R21" s="96">
        <v>-158904</v>
      </c>
      <c r="S21" s="96">
        <v>-32717</v>
      </c>
      <c r="T21" s="96">
        <v>-67817</v>
      </c>
      <c r="U21" s="96">
        <v>-53217</v>
      </c>
      <c r="V21" s="96">
        <v>-71643</v>
      </c>
      <c r="W21" s="96">
        <v>-66773</v>
      </c>
      <c r="X21" s="96">
        <v>-96108</v>
      </c>
      <c r="Y21" s="147">
        <v>618080</v>
      </c>
      <c r="Z21" s="111">
        <v>-87789</v>
      </c>
      <c r="AA21" s="96">
        <v>59831</v>
      </c>
      <c r="AB21" s="111">
        <v>-65500</v>
      </c>
      <c r="AC21" s="153">
        <v>-45266</v>
      </c>
      <c r="AD21" s="111">
        <v>-178572</v>
      </c>
      <c r="AE21" s="111">
        <v>-56543</v>
      </c>
      <c r="AF21" s="145">
        <v>-52310</v>
      </c>
      <c r="AG21" s="145">
        <v>-87281</v>
      </c>
      <c r="AH21" s="145">
        <v>-154429</v>
      </c>
      <c r="AI21" s="145">
        <v>-2502</v>
      </c>
      <c r="AJ21" s="145">
        <v>-76384</v>
      </c>
      <c r="AK21" s="145">
        <v>-64287</v>
      </c>
      <c r="AL21" s="145">
        <v>-129520</v>
      </c>
      <c r="AM21" s="145">
        <v>-78767</v>
      </c>
      <c r="AO21" s="145"/>
    </row>
    <row r="22" spans="1:41">
      <c r="A22" s="148" t="s">
        <v>529</v>
      </c>
      <c r="B22" s="149">
        <v>359587</v>
      </c>
      <c r="C22" s="149">
        <v>213374</v>
      </c>
      <c r="D22" s="149">
        <v>252103</v>
      </c>
      <c r="E22" s="150">
        <v>166319</v>
      </c>
      <c r="F22" s="149">
        <v>387971</v>
      </c>
      <c r="G22" s="149">
        <v>339976</v>
      </c>
      <c r="H22" s="150">
        <v>292409</v>
      </c>
      <c r="I22" s="150">
        <v>246578</v>
      </c>
      <c r="J22" s="150">
        <v>394697</v>
      </c>
      <c r="K22" s="150">
        <v>495524</v>
      </c>
      <c r="L22" s="150">
        <v>442848</v>
      </c>
      <c r="M22" s="150">
        <v>217730</v>
      </c>
      <c r="N22" s="150">
        <v>580798</v>
      </c>
      <c r="O22" s="150">
        <v>311084</v>
      </c>
      <c r="P22" s="150">
        <v>372305</v>
      </c>
      <c r="Q22" s="150">
        <v>85759</v>
      </c>
      <c r="R22" s="150">
        <v>398686</v>
      </c>
      <c r="S22" s="150">
        <v>335236</v>
      </c>
      <c r="T22" s="151">
        <v>319136</v>
      </c>
      <c r="U22" s="151">
        <v>132502</v>
      </c>
      <c r="V22" s="151">
        <v>502730</v>
      </c>
      <c r="W22" s="151">
        <v>217657</v>
      </c>
      <c r="X22" s="151">
        <v>358768</v>
      </c>
      <c r="Y22" s="96">
        <v>-2883370</v>
      </c>
      <c r="Z22" s="150">
        <v>323806</v>
      </c>
      <c r="AA22" s="150">
        <v>-319089</v>
      </c>
      <c r="AB22" s="150">
        <v>271611</v>
      </c>
      <c r="AC22" s="96">
        <v>93809</v>
      </c>
      <c r="AD22" s="150">
        <v>640535</v>
      </c>
      <c r="AE22" s="150">
        <v>364942</v>
      </c>
      <c r="AF22" s="150">
        <v>188753</v>
      </c>
      <c r="AG22" s="150">
        <v>188716</v>
      </c>
      <c r="AH22" s="150">
        <v>636669</v>
      </c>
      <c r="AI22" s="150">
        <v>-68233</v>
      </c>
      <c r="AJ22" s="150">
        <v>286444</v>
      </c>
      <c r="AK22" s="150">
        <v>-647835</v>
      </c>
      <c r="AL22" s="150">
        <v>524692</v>
      </c>
      <c r="AM22" s="150">
        <v>142248</v>
      </c>
      <c r="AO22" s="145"/>
    </row>
    <row r="23" spans="1:41">
      <c r="A23" s="107"/>
      <c r="B23" s="141"/>
      <c r="C23" s="152"/>
      <c r="D23" s="152"/>
      <c r="E23" s="152"/>
      <c r="F23" s="152"/>
      <c r="G23" s="152"/>
      <c r="H23" s="153"/>
      <c r="I23" s="153"/>
      <c r="J23" s="153"/>
      <c r="K23" s="153"/>
      <c r="L23" s="153"/>
      <c r="M23" s="153"/>
      <c r="N23" s="153"/>
      <c r="O23" s="153"/>
      <c r="P23" s="153"/>
      <c r="Q23" s="153"/>
      <c r="R23" s="154"/>
      <c r="S23" s="154"/>
      <c r="T23" s="154"/>
      <c r="U23" s="155"/>
      <c r="V23" s="155"/>
      <c r="W23" s="155"/>
      <c r="X23" s="155"/>
      <c r="Y23" s="155"/>
      <c r="Z23" s="155"/>
      <c r="AA23" s="155"/>
      <c r="AB23" s="155"/>
      <c r="AC23" s="155"/>
      <c r="AD23" s="155"/>
      <c r="AE23" s="155"/>
      <c r="AF23" s="155"/>
      <c r="AG23" s="155"/>
      <c r="AH23" s="155"/>
      <c r="AI23" s="155"/>
      <c r="AJ23" s="155"/>
      <c r="AK23" s="155"/>
      <c r="AL23" s="155"/>
      <c r="AM23" s="155"/>
      <c r="AO23" s="145"/>
    </row>
    <row r="24" spans="1:41">
      <c r="A24" s="156" t="s">
        <v>530</v>
      </c>
      <c r="B24" s="157"/>
      <c r="C24" s="158"/>
      <c r="D24" s="158"/>
      <c r="E24" s="158"/>
      <c r="F24" s="158"/>
      <c r="G24" s="158"/>
      <c r="H24" s="96"/>
      <c r="I24" s="96"/>
      <c r="J24" s="96"/>
      <c r="K24" s="96"/>
      <c r="L24" s="96"/>
      <c r="M24" s="96"/>
      <c r="N24" s="96"/>
      <c r="O24" s="96"/>
      <c r="P24" s="96"/>
      <c r="T24" s="144"/>
      <c r="U24" s="92"/>
      <c r="V24" s="92"/>
      <c r="W24" s="92"/>
      <c r="X24" s="92"/>
      <c r="Y24" s="92"/>
      <c r="Z24" s="92"/>
      <c r="AA24" s="92"/>
      <c r="AG24" s="145"/>
    </row>
    <row r="25" spans="1:41">
      <c r="A25" s="461" t="s">
        <v>531</v>
      </c>
      <c r="B25" s="159">
        <v>0</v>
      </c>
      <c r="C25" s="159">
        <v>0</v>
      </c>
      <c r="D25" s="159">
        <v>0</v>
      </c>
      <c r="E25" s="159">
        <v>0</v>
      </c>
      <c r="F25" s="160">
        <v>0</v>
      </c>
      <c r="G25" s="160">
        <v>0</v>
      </c>
      <c r="H25" s="160">
        <v>0</v>
      </c>
      <c r="I25" s="160">
        <v>0</v>
      </c>
      <c r="J25" s="160">
        <v>0</v>
      </c>
      <c r="K25" s="96">
        <v>11393</v>
      </c>
      <c r="L25" s="96">
        <v>-11393</v>
      </c>
      <c r="M25" s="92">
        <v>0</v>
      </c>
      <c r="N25" s="92">
        <v>0</v>
      </c>
      <c r="O25" s="92">
        <v>0</v>
      </c>
      <c r="P25" s="92">
        <v>0</v>
      </c>
      <c r="Q25" s="92">
        <v>0</v>
      </c>
      <c r="R25" s="92">
        <v>0</v>
      </c>
      <c r="S25" s="92">
        <v>0</v>
      </c>
      <c r="T25" s="92">
        <v>0</v>
      </c>
      <c r="U25" s="92">
        <v>0</v>
      </c>
      <c r="V25" s="92">
        <v>0</v>
      </c>
      <c r="W25" s="92">
        <v>0</v>
      </c>
      <c r="X25" s="92">
        <v>0</v>
      </c>
      <c r="Y25" s="92">
        <v>0</v>
      </c>
      <c r="Z25" s="161" t="s">
        <v>16</v>
      </c>
      <c r="AA25" s="161" t="s">
        <v>16</v>
      </c>
      <c r="AB25" s="161" t="s">
        <v>16</v>
      </c>
      <c r="AC25" s="161">
        <v>0</v>
      </c>
      <c r="AD25" s="161">
        <v>0</v>
      </c>
      <c r="AE25" s="161">
        <f>'Hist. dane półr. - H figures'!P25-'Hist. dane kwart. - Q figures'!AD25</f>
        <v>0</v>
      </c>
      <c r="AF25" s="161">
        <v>0</v>
      </c>
      <c r="AG25" s="161">
        <v>0</v>
      </c>
      <c r="AH25" s="161">
        <v>0</v>
      </c>
      <c r="AI25" s="161">
        <v>0</v>
      </c>
      <c r="AJ25" s="161">
        <v>0</v>
      </c>
      <c r="AK25" s="161">
        <v>0</v>
      </c>
      <c r="AL25" s="161">
        <v>0</v>
      </c>
      <c r="AM25" s="161">
        <v>0</v>
      </c>
    </row>
    <row r="26" spans="1:41">
      <c r="A26" s="132" t="s">
        <v>532</v>
      </c>
      <c r="B26" s="158">
        <v>-7948</v>
      </c>
      <c r="C26" s="160">
        <v>62</v>
      </c>
      <c r="D26" s="158">
        <v>-4295</v>
      </c>
      <c r="E26" s="158">
        <v>13293</v>
      </c>
      <c r="F26" s="160">
        <v>0</v>
      </c>
      <c r="G26" s="160">
        <v>0</v>
      </c>
      <c r="H26" s="160">
        <v>0</v>
      </c>
      <c r="I26" s="160">
        <v>0</v>
      </c>
      <c r="J26" s="96">
        <v>-11835</v>
      </c>
      <c r="K26" s="96">
        <v>-28306</v>
      </c>
      <c r="L26" s="96">
        <v>-49222</v>
      </c>
      <c r="M26" s="96">
        <v>-100393</v>
      </c>
      <c r="N26" s="96">
        <v>3331</v>
      </c>
      <c r="O26" s="96">
        <v>33513</v>
      </c>
      <c r="P26" s="96">
        <v>7029</v>
      </c>
      <c r="Q26" s="96">
        <v>-10476</v>
      </c>
      <c r="R26" s="96">
        <v>7607</v>
      </c>
      <c r="S26" s="96">
        <v>-30069</v>
      </c>
      <c r="T26" s="96">
        <v>-16014</v>
      </c>
      <c r="U26" s="96">
        <v>18269</v>
      </c>
      <c r="V26" s="96">
        <v>15514</v>
      </c>
      <c r="W26" s="96">
        <v>33114</v>
      </c>
      <c r="X26" s="96">
        <v>13426</v>
      </c>
      <c r="Y26" s="96">
        <v>23878</v>
      </c>
      <c r="Z26" s="96">
        <v>25149</v>
      </c>
      <c r="AA26" s="96">
        <v>23697</v>
      </c>
      <c r="AB26" s="96">
        <v>35092</v>
      </c>
      <c r="AC26" s="96">
        <v>43314</v>
      </c>
      <c r="AD26" s="145">
        <v>-4217</v>
      </c>
      <c r="AE26" s="145">
        <v>-4858</v>
      </c>
      <c r="AF26" s="145">
        <v>748</v>
      </c>
      <c r="AG26" s="145">
        <v>168</v>
      </c>
      <c r="AH26" s="145">
        <v>-13108</v>
      </c>
      <c r="AI26" s="145">
        <v>-76</v>
      </c>
      <c r="AJ26" s="145">
        <v>-1730</v>
      </c>
      <c r="AK26" s="145">
        <v>-9383</v>
      </c>
      <c r="AL26" s="145">
        <v>-2771</v>
      </c>
      <c r="AM26" s="145">
        <v>-592</v>
      </c>
      <c r="AO26" s="145"/>
    </row>
    <row r="27" spans="1:41" ht="26.25">
      <c r="A27" s="461" t="s">
        <v>533</v>
      </c>
      <c r="B27" s="158" t="s">
        <v>55</v>
      </c>
      <c r="C27" s="158" t="s">
        <v>55</v>
      </c>
      <c r="D27" s="158" t="s">
        <v>55</v>
      </c>
      <c r="E27" s="158" t="s">
        <v>55</v>
      </c>
      <c r="F27" s="158" t="s">
        <v>55</v>
      </c>
      <c r="G27" s="158" t="s">
        <v>55</v>
      </c>
      <c r="H27" s="158" t="s">
        <v>55</v>
      </c>
      <c r="I27" s="96">
        <v>37149</v>
      </c>
      <c r="J27" s="96">
        <v>2346</v>
      </c>
      <c r="K27" s="96">
        <v>-9382</v>
      </c>
      <c r="L27" s="96">
        <v>7002</v>
      </c>
      <c r="M27" s="96">
        <v>-221040</v>
      </c>
      <c r="N27" s="96">
        <v>7399</v>
      </c>
      <c r="O27" s="96">
        <v>-2008</v>
      </c>
      <c r="P27" s="96">
        <v>8655</v>
      </c>
      <c r="Q27" s="96">
        <v>7801</v>
      </c>
      <c r="R27" s="96">
        <v>9568</v>
      </c>
      <c r="S27" s="96">
        <v>-2925</v>
      </c>
      <c r="T27" s="96">
        <v>10289</v>
      </c>
      <c r="U27" s="96">
        <v>-355526</v>
      </c>
      <c r="V27" s="96">
        <v>2615</v>
      </c>
      <c r="W27" s="96">
        <v>-1014</v>
      </c>
      <c r="X27" s="96">
        <v>6657</v>
      </c>
      <c r="Y27" s="96">
        <f>55878+387</f>
        <v>56265</v>
      </c>
      <c r="Z27" s="96">
        <v>-2512</v>
      </c>
      <c r="AA27" s="96">
        <f>1096-13</f>
        <v>1083</v>
      </c>
      <c r="AB27" s="96">
        <v>1164</v>
      </c>
      <c r="AC27" s="96">
        <v>204862</v>
      </c>
      <c r="AD27" s="145">
        <v>2130</v>
      </c>
      <c r="AE27" s="145">
        <v>3500</v>
      </c>
      <c r="AF27" s="145">
        <v>4037</v>
      </c>
      <c r="AG27" s="145">
        <v>9986</v>
      </c>
      <c r="AH27" s="145">
        <v>-1206</v>
      </c>
      <c r="AI27" s="145">
        <v>7445</v>
      </c>
      <c r="AJ27" s="145">
        <v>456</v>
      </c>
      <c r="AK27" s="145">
        <v>-21525</v>
      </c>
      <c r="AL27" s="145">
        <v>2788</v>
      </c>
      <c r="AM27" s="145">
        <v>5513</v>
      </c>
      <c r="AO27" s="145"/>
    </row>
    <row r="28" spans="1:41" ht="26.25">
      <c r="A28" s="461" t="s">
        <v>304</v>
      </c>
      <c r="B28" s="159">
        <v>0</v>
      </c>
      <c r="C28" s="159">
        <v>0</v>
      </c>
      <c r="D28" s="158">
        <v>-213</v>
      </c>
      <c r="E28" s="158">
        <v>-58</v>
      </c>
      <c r="F28" s="158">
        <v>121</v>
      </c>
      <c r="G28" s="158">
        <v>30</v>
      </c>
      <c r="H28" s="158">
        <v>618</v>
      </c>
      <c r="I28" s="96">
        <v>-411</v>
      </c>
      <c r="J28" s="96">
        <v>-147</v>
      </c>
      <c r="K28" s="96">
        <v>-104</v>
      </c>
      <c r="L28" s="96">
        <v>-186</v>
      </c>
      <c r="M28" s="96">
        <v>-20</v>
      </c>
      <c r="N28" s="96">
        <v>-72</v>
      </c>
      <c r="O28" s="96">
        <v>431</v>
      </c>
      <c r="P28" s="96">
        <v>-278</v>
      </c>
      <c r="Q28" s="96">
        <v>-1342</v>
      </c>
      <c r="R28" s="96">
        <v>78</v>
      </c>
      <c r="S28" s="96">
        <v>-37</v>
      </c>
      <c r="T28" s="96">
        <v>18</v>
      </c>
      <c r="U28" s="96">
        <v>186</v>
      </c>
      <c r="V28" s="96">
        <v>-508</v>
      </c>
      <c r="W28" s="96">
        <v>536</v>
      </c>
      <c r="X28" s="96">
        <v>259</v>
      </c>
      <c r="Y28" s="96">
        <v>308</v>
      </c>
      <c r="Z28" s="96">
        <v>-4</v>
      </c>
      <c r="AA28" s="96">
        <v>9926</v>
      </c>
      <c r="AB28" s="96">
        <v>-7379</v>
      </c>
      <c r="AC28" s="96">
        <v>7448</v>
      </c>
      <c r="AD28" s="145">
        <v>-13865</v>
      </c>
      <c r="AE28" s="145">
        <v>1190</v>
      </c>
      <c r="AF28" s="145">
        <v>14820</v>
      </c>
      <c r="AG28" s="145">
        <v>-4570</v>
      </c>
      <c r="AH28" s="145">
        <v>4538</v>
      </c>
      <c r="AI28" s="145">
        <v>4333</v>
      </c>
      <c r="AJ28" s="145">
        <v>-3216</v>
      </c>
      <c r="AK28" s="145">
        <v>1585</v>
      </c>
      <c r="AL28" s="145">
        <v>-1151</v>
      </c>
      <c r="AM28" s="145">
        <v>936</v>
      </c>
      <c r="AO28" s="145"/>
    </row>
    <row r="29" spans="1:41" ht="26.25">
      <c r="A29" s="462" t="s">
        <v>306</v>
      </c>
      <c r="B29" s="92">
        <v>0</v>
      </c>
      <c r="C29" s="92">
        <v>0</v>
      </c>
      <c r="D29" s="92">
        <v>0</v>
      </c>
      <c r="E29" s="92">
        <v>0</v>
      </c>
      <c r="F29" s="92">
        <v>0</v>
      </c>
      <c r="G29" s="92">
        <v>0</v>
      </c>
      <c r="H29" s="92">
        <v>0</v>
      </c>
      <c r="I29" s="92">
        <v>0</v>
      </c>
      <c r="J29" s="92">
        <v>0</v>
      </c>
      <c r="K29" s="92">
        <v>0</v>
      </c>
      <c r="L29" s="92">
        <v>0</v>
      </c>
      <c r="M29" s="92">
        <v>0</v>
      </c>
      <c r="N29" s="92">
        <v>0</v>
      </c>
      <c r="O29" s="92">
        <v>0</v>
      </c>
      <c r="P29" s="92">
        <v>0</v>
      </c>
      <c r="Q29" s="92">
        <v>0</v>
      </c>
      <c r="R29" s="92">
        <v>0</v>
      </c>
      <c r="S29" s="92">
        <v>0</v>
      </c>
      <c r="T29" s="92">
        <v>0</v>
      </c>
      <c r="U29" s="92">
        <v>0</v>
      </c>
      <c r="V29" s="92">
        <v>0</v>
      </c>
      <c r="W29" s="92">
        <v>0</v>
      </c>
      <c r="X29" s="92">
        <v>0</v>
      </c>
      <c r="Y29" s="96">
        <v>-387</v>
      </c>
      <c r="Z29" s="143">
        <v>28</v>
      </c>
      <c r="AA29" s="96">
        <f>41-28</f>
        <v>13</v>
      </c>
      <c r="AB29" s="96">
        <v>34</v>
      </c>
      <c r="AC29" s="96">
        <v>-1115</v>
      </c>
      <c r="AD29" s="145">
        <v>-10</v>
      </c>
      <c r="AE29" s="145">
        <v>3</v>
      </c>
      <c r="AF29" s="145">
        <v>53</v>
      </c>
      <c r="AG29" s="145">
        <v>-565</v>
      </c>
      <c r="AH29" s="145">
        <v>160</v>
      </c>
      <c r="AI29" s="145">
        <v>178</v>
      </c>
      <c r="AJ29" s="145">
        <v>42</v>
      </c>
      <c r="AK29" s="145">
        <v>-451</v>
      </c>
      <c r="AL29" s="145">
        <v>122</v>
      </c>
      <c r="AM29" s="145">
        <v>156</v>
      </c>
      <c r="AO29" s="145"/>
    </row>
    <row r="30" spans="1:41" ht="26.25">
      <c r="A30" s="461" t="s">
        <v>534</v>
      </c>
      <c r="B30" s="158">
        <v>1510</v>
      </c>
      <c r="C30" s="158">
        <v>-12</v>
      </c>
      <c r="D30" s="158">
        <v>816</v>
      </c>
      <c r="E30" s="158">
        <v>-2525</v>
      </c>
      <c r="F30" s="159">
        <v>0</v>
      </c>
      <c r="G30" s="159">
        <v>0</v>
      </c>
      <c r="H30" s="159">
        <v>0</v>
      </c>
      <c r="I30" s="96">
        <v>-7058</v>
      </c>
      <c r="J30" s="96">
        <v>1803</v>
      </c>
      <c r="K30" s="96">
        <v>4996</v>
      </c>
      <c r="L30" s="96">
        <v>10186</v>
      </c>
      <c r="M30" s="96">
        <v>60708</v>
      </c>
      <c r="N30" s="96">
        <v>-2039</v>
      </c>
      <c r="O30" s="96">
        <v>-5984</v>
      </c>
      <c r="P30" s="96">
        <v>-2983</v>
      </c>
      <c r="Q30" s="96">
        <v>511</v>
      </c>
      <c r="R30" s="96">
        <v>-3261</v>
      </c>
      <c r="S30" s="96">
        <v>6269</v>
      </c>
      <c r="T30" s="96">
        <v>1087</v>
      </c>
      <c r="U30" s="96">
        <v>64077</v>
      </c>
      <c r="V30" s="96">
        <v>-3443</v>
      </c>
      <c r="W30" s="96">
        <v>-6103</v>
      </c>
      <c r="X30" s="96">
        <v>-3812</v>
      </c>
      <c r="Y30" s="96">
        <v>-15229</v>
      </c>
      <c r="Z30" s="96">
        <v>-4300</v>
      </c>
      <c r="AA30" s="96">
        <v>-4711</v>
      </c>
      <c r="AB30" s="96">
        <v>-6887</v>
      </c>
      <c r="AC30" s="96">
        <v>-47154</v>
      </c>
      <c r="AD30" s="145">
        <v>397</v>
      </c>
      <c r="AE30" s="145">
        <v>257</v>
      </c>
      <c r="AF30" s="145">
        <v>-907</v>
      </c>
      <c r="AG30" s="145">
        <v>-1931</v>
      </c>
      <c r="AH30" s="145">
        <v>2721</v>
      </c>
      <c r="AI30" s="145">
        <v>-1400</v>
      </c>
      <c r="AJ30" s="145">
        <v>242</v>
      </c>
      <c r="AK30" s="145">
        <v>5873</v>
      </c>
      <c r="AL30" s="145">
        <v>-4</v>
      </c>
      <c r="AM30" s="145">
        <f>-1044+112</f>
        <v>-932</v>
      </c>
      <c r="AO30" s="145"/>
    </row>
    <row r="31" spans="1:41" ht="26.25">
      <c r="A31" s="417" t="s">
        <v>535</v>
      </c>
      <c r="B31" s="158">
        <v>-6438</v>
      </c>
      <c r="C31" s="158">
        <v>50</v>
      </c>
      <c r="D31" s="158">
        <v>-3692</v>
      </c>
      <c r="E31" s="158">
        <v>10710</v>
      </c>
      <c r="F31" s="158">
        <v>121</v>
      </c>
      <c r="G31" s="158">
        <v>30</v>
      </c>
      <c r="H31" s="158">
        <v>618</v>
      </c>
      <c r="I31" s="96">
        <v>29680</v>
      </c>
      <c r="J31" s="96">
        <v>-7833</v>
      </c>
      <c r="K31" s="96">
        <v>-21403</v>
      </c>
      <c r="L31" s="96">
        <v>-43613</v>
      </c>
      <c r="M31" s="96">
        <v>-260745</v>
      </c>
      <c r="N31" s="96">
        <v>8619</v>
      </c>
      <c r="O31" s="96">
        <v>25952</v>
      </c>
      <c r="P31" s="96">
        <v>12423</v>
      </c>
      <c r="Q31" s="96">
        <v>-3506</v>
      </c>
      <c r="R31" s="96">
        <v>13992</v>
      </c>
      <c r="S31" s="96">
        <v>-26762</v>
      </c>
      <c r="T31" s="96">
        <v>-4620</v>
      </c>
      <c r="U31" s="96">
        <v>-272994</v>
      </c>
      <c r="V31" s="96">
        <v>14178</v>
      </c>
      <c r="W31" s="96">
        <v>26533</v>
      </c>
      <c r="X31" s="96">
        <v>16530</v>
      </c>
      <c r="Y31" s="96">
        <v>64835</v>
      </c>
      <c r="Z31" s="96">
        <v>18361</v>
      </c>
      <c r="AA31" s="96">
        <v>30008</v>
      </c>
      <c r="AB31" s="96">
        <v>22024</v>
      </c>
      <c r="AC31" s="96">
        <v>207355</v>
      </c>
      <c r="AD31" s="145">
        <v>-15565</v>
      </c>
      <c r="AE31" s="145">
        <v>92</v>
      </c>
      <c r="AF31" s="145">
        <v>18751</v>
      </c>
      <c r="AG31" s="145">
        <v>3088</v>
      </c>
      <c r="AH31" s="145">
        <v>-6895</v>
      </c>
      <c r="AI31" s="145">
        <v>10480</v>
      </c>
      <c r="AJ31" s="145">
        <v>-4206</v>
      </c>
      <c r="AK31" s="145">
        <v>-23901</v>
      </c>
      <c r="AL31" s="145">
        <v>-1016</v>
      </c>
      <c r="AM31" s="145">
        <v>5081</v>
      </c>
      <c r="AO31" s="145"/>
    </row>
    <row r="32" spans="1:41">
      <c r="A32" s="109" t="s">
        <v>536</v>
      </c>
      <c r="B32" s="158">
        <v>353149</v>
      </c>
      <c r="C32" s="158">
        <v>213424</v>
      </c>
      <c r="D32" s="158">
        <v>248411</v>
      </c>
      <c r="E32" s="158">
        <v>177029</v>
      </c>
      <c r="F32" s="158">
        <v>388092</v>
      </c>
      <c r="G32" s="158">
        <v>340006</v>
      </c>
      <c r="H32" s="158">
        <v>293027</v>
      </c>
      <c r="I32" s="96">
        <v>276258</v>
      </c>
      <c r="J32" s="96">
        <v>386864</v>
      </c>
      <c r="K32" s="96">
        <v>474121</v>
      </c>
      <c r="L32" s="96">
        <v>399235</v>
      </c>
      <c r="M32" s="96">
        <v>-43015</v>
      </c>
      <c r="N32" s="96">
        <v>589417</v>
      </c>
      <c r="O32" s="96">
        <v>337036</v>
      </c>
      <c r="P32" s="96">
        <v>384728</v>
      </c>
      <c r="Q32" s="96">
        <v>82253</v>
      </c>
      <c r="R32" s="96">
        <v>412678</v>
      </c>
      <c r="S32" s="96">
        <v>308474</v>
      </c>
      <c r="T32" s="96">
        <v>314516</v>
      </c>
      <c r="U32" s="96">
        <v>-140492</v>
      </c>
      <c r="V32" s="96">
        <v>516908</v>
      </c>
      <c r="W32" s="96">
        <v>244190</v>
      </c>
      <c r="X32" s="96">
        <v>375298</v>
      </c>
      <c r="Y32" s="96">
        <v>-2818535</v>
      </c>
      <c r="Z32" s="96">
        <v>342167</v>
      </c>
      <c r="AA32" s="96">
        <v>-289081</v>
      </c>
      <c r="AB32" s="96">
        <v>293635</v>
      </c>
      <c r="AC32" s="96">
        <v>301164</v>
      </c>
      <c r="AD32" s="145">
        <v>624970</v>
      </c>
      <c r="AE32" s="145">
        <v>365034</v>
      </c>
      <c r="AF32" s="145">
        <v>207504</v>
      </c>
      <c r="AG32" s="145">
        <v>191804</v>
      </c>
      <c r="AH32" s="145">
        <v>629774</v>
      </c>
      <c r="AI32" s="145">
        <v>-57753</v>
      </c>
      <c r="AJ32" s="145">
        <v>282238</v>
      </c>
      <c r="AK32" s="145">
        <v>-671736</v>
      </c>
      <c r="AL32" s="145">
        <v>523676</v>
      </c>
      <c r="AM32" s="145">
        <v>147329</v>
      </c>
      <c r="AO32" s="145"/>
    </row>
    <row r="33" spans="1:41">
      <c r="A33" s="109" t="s">
        <v>537</v>
      </c>
      <c r="B33" s="158"/>
      <c r="C33" s="158"/>
      <c r="D33" s="158"/>
      <c r="E33" s="158"/>
      <c r="F33" s="158"/>
      <c r="G33" s="158"/>
      <c r="H33" s="158"/>
      <c r="I33" s="96"/>
      <c r="J33" s="96"/>
      <c r="K33" s="96"/>
      <c r="L33" s="96"/>
      <c r="M33" s="96"/>
      <c r="N33" s="96"/>
      <c r="O33" s="96"/>
      <c r="P33" s="96"/>
      <c r="Q33" s="96"/>
      <c r="R33" s="96"/>
      <c r="S33" s="96"/>
      <c r="T33" s="96"/>
      <c r="U33" s="92"/>
      <c r="V33" s="92"/>
      <c r="W33" s="92"/>
      <c r="X33" s="92"/>
      <c r="Y33" s="92"/>
      <c r="Z33" s="92"/>
      <c r="AA33" s="92"/>
      <c r="AC33" s="96"/>
      <c r="AD33" s="145"/>
      <c r="AE33" s="145"/>
      <c r="AF33" s="145"/>
      <c r="AG33" s="145"/>
      <c r="AH33" s="145"/>
      <c r="AI33" s="145"/>
      <c r="AJ33" s="145"/>
      <c r="AK33" s="145"/>
      <c r="AL33" s="145"/>
      <c r="AM33" s="145"/>
      <c r="AO33" s="145"/>
    </row>
    <row r="34" spans="1:41">
      <c r="A34" s="132" t="s">
        <v>538</v>
      </c>
      <c r="B34" s="158">
        <v>291813</v>
      </c>
      <c r="C34" s="158">
        <v>189954</v>
      </c>
      <c r="D34" s="158">
        <v>219831</v>
      </c>
      <c r="E34" s="158">
        <v>157058</v>
      </c>
      <c r="F34" s="158">
        <v>382471</v>
      </c>
      <c r="G34" s="158">
        <v>321562</v>
      </c>
      <c r="H34" s="158">
        <v>290471</v>
      </c>
      <c r="I34" s="96">
        <v>250612</v>
      </c>
      <c r="J34" s="96">
        <v>381164</v>
      </c>
      <c r="K34" s="96">
        <v>475837</v>
      </c>
      <c r="L34" s="96">
        <v>412197</v>
      </c>
      <c r="M34" s="96">
        <v>207194</v>
      </c>
      <c r="N34" s="96">
        <v>559158</v>
      </c>
      <c r="O34" s="96">
        <v>290074</v>
      </c>
      <c r="P34" s="96">
        <v>367062</v>
      </c>
      <c r="Q34" s="96">
        <v>95475</v>
      </c>
      <c r="R34" s="96">
        <v>395930</v>
      </c>
      <c r="S34" s="96">
        <v>334360</v>
      </c>
      <c r="T34" s="96">
        <v>318411</v>
      </c>
      <c r="U34" s="96">
        <v>132192</v>
      </c>
      <c r="V34" s="96">
        <v>502043</v>
      </c>
      <c r="W34" s="96">
        <v>216481</v>
      </c>
      <c r="X34" s="96">
        <v>358117</v>
      </c>
      <c r="Y34" s="96">
        <v>-2883958</v>
      </c>
      <c r="Z34" s="96">
        <v>323245</v>
      </c>
      <c r="AA34" s="96">
        <v>-319810</v>
      </c>
      <c r="AB34" s="96">
        <v>271044</v>
      </c>
      <c r="AC34" s="96">
        <v>92989</v>
      </c>
      <c r="AD34" s="145">
        <v>639830</v>
      </c>
      <c r="AE34" s="145">
        <v>364337</v>
      </c>
      <c r="AF34" s="145">
        <v>188030</v>
      </c>
      <c r="AG34" s="145">
        <v>188466</v>
      </c>
      <c r="AH34" s="145">
        <v>636153</v>
      </c>
      <c r="AI34" s="145">
        <v>-69124</v>
      </c>
      <c r="AJ34" s="145">
        <v>285830</v>
      </c>
      <c r="AK34" s="145">
        <v>-647979</v>
      </c>
      <c r="AL34" s="145">
        <v>524194</v>
      </c>
      <c r="AM34" s="145">
        <v>141903</v>
      </c>
      <c r="AO34" s="145"/>
    </row>
    <row r="35" spans="1:41">
      <c r="A35" s="132" t="s">
        <v>539</v>
      </c>
      <c r="B35" s="158">
        <v>67774</v>
      </c>
      <c r="C35" s="158">
        <v>23420</v>
      </c>
      <c r="D35" s="158">
        <v>32272</v>
      </c>
      <c r="E35" s="158">
        <v>9261</v>
      </c>
      <c r="F35" s="158">
        <v>5500</v>
      </c>
      <c r="G35" s="158">
        <v>18414</v>
      </c>
      <c r="H35" s="158">
        <v>1938</v>
      </c>
      <c r="I35" s="96">
        <v>-4034</v>
      </c>
      <c r="J35" s="96">
        <v>13533</v>
      </c>
      <c r="K35" s="96">
        <v>19687</v>
      </c>
      <c r="L35" s="96">
        <v>30651</v>
      </c>
      <c r="M35" s="96">
        <v>10536</v>
      </c>
      <c r="N35" s="96">
        <v>21640</v>
      </c>
      <c r="O35" s="96">
        <v>21010</v>
      </c>
      <c r="P35" s="96">
        <v>5243</v>
      </c>
      <c r="Q35" s="96">
        <v>-9716</v>
      </c>
      <c r="R35" s="96">
        <v>2756</v>
      </c>
      <c r="S35" s="96">
        <v>876</v>
      </c>
      <c r="T35" s="96">
        <v>725</v>
      </c>
      <c r="U35" s="96">
        <v>310</v>
      </c>
      <c r="V35" s="96">
        <v>687</v>
      </c>
      <c r="W35" s="96">
        <v>1176</v>
      </c>
      <c r="X35" s="96">
        <v>651</v>
      </c>
      <c r="Y35" s="96">
        <v>588</v>
      </c>
      <c r="Z35" s="96">
        <v>561</v>
      </c>
      <c r="AA35" s="96">
        <v>721</v>
      </c>
      <c r="AB35" s="96">
        <v>567</v>
      </c>
      <c r="AC35" s="96">
        <v>820</v>
      </c>
      <c r="AD35" s="145">
        <v>705</v>
      </c>
      <c r="AE35" s="145">
        <v>605</v>
      </c>
      <c r="AF35" s="145">
        <v>723</v>
      </c>
      <c r="AG35" s="145">
        <v>250</v>
      </c>
      <c r="AH35" s="145">
        <v>516</v>
      </c>
      <c r="AI35" s="145">
        <v>891</v>
      </c>
      <c r="AJ35" s="145">
        <v>614</v>
      </c>
      <c r="AK35" s="145">
        <v>144</v>
      </c>
      <c r="AL35" s="145">
        <v>498</v>
      </c>
      <c r="AM35" s="145">
        <v>345</v>
      </c>
      <c r="AO35" s="145"/>
    </row>
    <row r="36" spans="1:41">
      <c r="A36" s="109" t="s">
        <v>312</v>
      </c>
      <c r="B36" s="158"/>
      <c r="C36" s="158"/>
      <c r="D36" s="158"/>
      <c r="E36" s="158"/>
      <c r="F36" s="158"/>
      <c r="G36" s="158"/>
      <c r="H36" s="158"/>
      <c r="I36" s="96"/>
      <c r="J36" s="96"/>
      <c r="K36" s="96"/>
      <c r="L36" s="96"/>
      <c r="M36" s="96"/>
      <c r="N36" s="96"/>
      <c r="O36" s="96"/>
      <c r="P36" s="96"/>
      <c r="Q36" s="96"/>
      <c r="R36" s="96"/>
      <c r="S36" s="96"/>
      <c r="T36" s="96"/>
      <c r="U36" s="96"/>
      <c r="V36" s="96"/>
      <c r="W36" s="96"/>
      <c r="X36" s="96"/>
      <c r="Y36" s="96"/>
      <c r="Z36" s="96"/>
      <c r="AA36" s="96"/>
      <c r="AB36" s="96"/>
      <c r="AC36" s="96"/>
      <c r="AD36" s="145"/>
      <c r="AE36" s="145"/>
      <c r="AF36" s="145"/>
      <c r="AG36" s="145"/>
      <c r="AH36" s="145"/>
      <c r="AI36" s="145"/>
      <c r="AJ36" s="145"/>
      <c r="AK36" s="145"/>
      <c r="AL36" s="145"/>
      <c r="AM36" s="145"/>
      <c r="AO36" s="145"/>
    </row>
    <row r="37" spans="1:41">
      <c r="A37" s="132" t="s">
        <v>538</v>
      </c>
      <c r="B37" s="158">
        <v>286341</v>
      </c>
      <c r="C37" s="158">
        <v>189996</v>
      </c>
      <c r="D37" s="158">
        <v>216661</v>
      </c>
      <c r="E37" s="158">
        <v>166153</v>
      </c>
      <c r="F37" s="158">
        <v>382592</v>
      </c>
      <c r="G37" s="158">
        <v>321592</v>
      </c>
      <c r="H37" s="158">
        <v>291089</v>
      </c>
      <c r="I37" s="96">
        <v>278364</v>
      </c>
      <c r="J37" s="96">
        <v>373567</v>
      </c>
      <c r="K37" s="96">
        <v>454236</v>
      </c>
      <c r="L37" s="96">
        <v>368072</v>
      </c>
      <c r="M37" s="96">
        <v>-38258</v>
      </c>
      <c r="N37" s="96">
        <v>567108</v>
      </c>
      <c r="O37" s="96">
        <v>315216</v>
      </c>
      <c r="P37" s="96">
        <v>378666</v>
      </c>
      <c r="Q37" s="96">
        <v>91584</v>
      </c>
      <c r="R37" s="96">
        <v>409901</v>
      </c>
      <c r="S37" s="96">
        <v>307604</v>
      </c>
      <c r="T37" s="96">
        <v>313778</v>
      </c>
      <c r="U37" s="96">
        <v>-140404</v>
      </c>
      <c r="V37" s="96">
        <v>516213</v>
      </c>
      <c r="W37" s="96">
        <v>243020</v>
      </c>
      <c r="X37" s="96">
        <v>374636</v>
      </c>
      <c r="Y37" s="96">
        <v>-2819170</v>
      </c>
      <c r="Z37" s="96">
        <v>341606</v>
      </c>
      <c r="AA37" s="96">
        <v>-289802</v>
      </c>
      <c r="AB37" s="96">
        <v>293068</v>
      </c>
      <c r="AC37" s="96">
        <v>300072</v>
      </c>
      <c r="AD37" s="145">
        <v>624261</v>
      </c>
      <c r="AE37" s="145">
        <v>364427</v>
      </c>
      <c r="AF37" s="145">
        <v>206778</v>
      </c>
      <c r="AG37" s="145">
        <v>191530</v>
      </c>
      <c r="AH37" s="145">
        <v>629256</v>
      </c>
      <c r="AI37" s="145">
        <v>-58651</v>
      </c>
      <c r="AJ37" s="145">
        <v>281623</v>
      </c>
      <c r="AK37" s="145">
        <v>-671830</v>
      </c>
      <c r="AL37" s="145">
        <v>523170</v>
      </c>
      <c r="AM37" s="145">
        <v>146973</v>
      </c>
      <c r="AO37" s="145"/>
    </row>
    <row r="38" spans="1:41">
      <c r="A38" s="162" t="s">
        <v>539</v>
      </c>
      <c r="B38" s="152">
        <v>66808</v>
      </c>
      <c r="C38" s="152">
        <v>23428</v>
      </c>
      <c r="D38" s="152">
        <v>31750</v>
      </c>
      <c r="E38" s="152">
        <v>10876</v>
      </c>
      <c r="F38" s="152">
        <v>5500</v>
      </c>
      <c r="G38" s="152">
        <v>18414</v>
      </c>
      <c r="H38" s="152">
        <v>1938</v>
      </c>
      <c r="I38" s="152">
        <v>-2106</v>
      </c>
      <c r="J38" s="152">
        <v>13297</v>
      </c>
      <c r="K38" s="152">
        <v>19885</v>
      </c>
      <c r="L38" s="152">
        <v>31163</v>
      </c>
      <c r="M38" s="152">
        <v>-4757</v>
      </c>
      <c r="N38" s="152">
        <v>22309</v>
      </c>
      <c r="O38" s="152">
        <v>21820</v>
      </c>
      <c r="P38" s="152">
        <v>6062</v>
      </c>
      <c r="Q38" s="152">
        <v>-9331</v>
      </c>
      <c r="R38" s="152">
        <v>2777</v>
      </c>
      <c r="S38" s="152">
        <v>870</v>
      </c>
      <c r="T38" s="152">
        <v>738</v>
      </c>
      <c r="U38" s="96">
        <v>-88</v>
      </c>
      <c r="V38" s="96">
        <v>695</v>
      </c>
      <c r="W38" s="96">
        <v>1170</v>
      </c>
      <c r="X38" s="96">
        <v>662</v>
      </c>
      <c r="Y38" s="96">
        <v>635</v>
      </c>
      <c r="Z38" s="96">
        <v>561</v>
      </c>
      <c r="AA38" s="96">
        <v>721</v>
      </c>
      <c r="AB38" s="96">
        <v>567</v>
      </c>
      <c r="AC38" s="96">
        <v>1092</v>
      </c>
      <c r="AD38" s="145">
        <v>709</v>
      </c>
      <c r="AE38" s="145">
        <v>607</v>
      </c>
      <c r="AF38" s="145">
        <v>726</v>
      </c>
      <c r="AG38" s="145">
        <v>274</v>
      </c>
      <c r="AH38" s="145">
        <v>518</v>
      </c>
      <c r="AI38" s="145">
        <v>898</v>
      </c>
      <c r="AJ38" s="145">
        <v>615</v>
      </c>
      <c r="AK38" s="145">
        <v>94</v>
      </c>
      <c r="AL38" s="145">
        <v>506</v>
      </c>
      <c r="AM38" s="145">
        <v>356</v>
      </c>
      <c r="AO38" s="145"/>
    </row>
    <row r="39" spans="1:41">
      <c r="A39" s="107"/>
      <c r="B39" s="141"/>
      <c r="C39" s="141"/>
      <c r="D39" s="141"/>
      <c r="E39" s="141"/>
      <c r="F39" s="141"/>
      <c r="G39" s="141"/>
      <c r="H39" s="141"/>
      <c r="I39" s="141"/>
      <c r="J39" s="141"/>
      <c r="K39" s="163"/>
      <c r="L39" s="163"/>
      <c r="M39" s="141"/>
      <c r="N39" s="141"/>
      <c r="O39" s="163"/>
      <c r="P39" s="141"/>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O39" s="145"/>
    </row>
    <row r="40" spans="1:41">
      <c r="A40" s="156" t="s">
        <v>540</v>
      </c>
      <c r="B40" s="157"/>
      <c r="C40" s="157"/>
      <c r="D40" s="157"/>
      <c r="E40" s="157"/>
      <c r="F40" s="157"/>
      <c r="G40" s="157"/>
      <c r="H40" s="157"/>
      <c r="I40" s="157"/>
      <c r="J40" s="157"/>
      <c r="K40" s="96"/>
      <c r="L40" s="96"/>
      <c r="M40" s="157"/>
      <c r="N40" s="157"/>
      <c r="O40" s="96"/>
      <c r="P40" s="157"/>
      <c r="T40" s="144"/>
      <c r="U40" s="92"/>
      <c r="V40" s="92"/>
      <c r="W40" s="92"/>
      <c r="X40" s="92"/>
      <c r="Y40" s="92"/>
      <c r="Z40" s="92"/>
      <c r="AA40" s="92"/>
      <c r="AD40" s="145"/>
      <c r="AE40" s="145"/>
      <c r="AF40" s="145"/>
      <c r="AG40" s="145"/>
      <c r="AH40" s="145"/>
      <c r="AI40" s="145"/>
      <c r="AJ40" s="145"/>
      <c r="AK40" s="145"/>
      <c r="AL40" s="145"/>
      <c r="AO40" s="145"/>
    </row>
    <row r="41" spans="1:41" ht="26.25">
      <c r="A41" s="463" t="s">
        <v>541</v>
      </c>
      <c r="B41" s="165">
        <v>0.19</v>
      </c>
      <c r="C41" s="165">
        <v>0.12</v>
      </c>
      <c r="D41" s="165">
        <v>0.14000000000000001</v>
      </c>
      <c r="E41" s="165">
        <v>0.09</v>
      </c>
      <c r="F41" s="165">
        <v>0.22</v>
      </c>
      <c r="G41" s="165">
        <v>0.18</v>
      </c>
      <c r="H41" s="165">
        <v>0.17</v>
      </c>
      <c r="I41" s="166">
        <v>0.14000000000000001</v>
      </c>
      <c r="J41" s="166">
        <v>0.22</v>
      </c>
      <c r="K41" s="166">
        <v>0.27</v>
      </c>
      <c r="L41" s="166">
        <v>0.23</v>
      </c>
      <c r="M41" s="166">
        <v>0.12</v>
      </c>
      <c r="N41" s="166">
        <v>0.32</v>
      </c>
      <c r="O41" s="166">
        <v>0.16</v>
      </c>
      <c r="P41" s="166">
        <v>0.21204497411158271</v>
      </c>
      <c r="Q41" s="166">
        <v>0.06</v>
      </c>
      <c r="R41" s="166">
        <v>0.23</v>
      </c>
      <c r="S41" s="166">
        <v>0.18999999999999997</v>
      </c>
      <c r="T41" s="166">
        <v>0.18168446555064682</v>
      </c>
      <c r="U41" s="167">
        <v>6.8315534449353205E-2</v>
      </c>
      <c r="V41" s="167">
        <v>0.28999999999999998</v>
      </c>
      <c r="W41" s="167">
        <v>0.12</v>
      </c>
      <c r="X41" s="167">
        <v>0.2</v>
      </c>
      <c r="Y41" s="167">
        <v>-1.64</v>
      </c>
      <c r="Z41" s="167">
        <v>0.18</v>
      </c>
      <c r="AA41" s="167">
        <v>-0.18</v>
      </c>
      <c r="AB41" s="167">
        <v>0.16</v>
      </c>
      <c r="AC41" s="167">
        <v>4.9676258631030618E-2</v>
      </c>
      <c r="AD41" s="167">
        <v>0.37</v>
      </c>
      <c r="AE41" s="167">
        <f>'Hist. dane półr. - H figures'!P41-'Hist. dane kwart. - Q figures'!AD41</f>
        <v>0.20297500626107889</v>
      </c>
      <c r="AF41" s="167">
        <v>0.10728941543316073</v>
      </c>
      <c r="AG41" s="167">
        <v>0.10753819586781921</v>
      </c>
      <c r="AH41" s="167">
        <v>0.36298720148939778</v>
      </c>
      <c r="AI41" s="167">
        <v>-3.9441969645278907E-2</v>
      </c>
      <c r="AJ41" s="167">
        <v>0.16309383403318789</v>
      </c>
      <c r="AK41" s="167">
        <v>-0.36973508548084899</v>
      </c>
      <c r="AL41" s="167">
        <v>0.29910369533356501</v>
      </c>
      <c r="AM41" s="167">
        <v>8.096947252146891E-2</v>
      </c>
      <c r="AO41" s="145"/>
    </row>
    <row r="42" spans="1:41">
      <c r="B42" s="145"/>
      <c r="C42" s="145"/>
      <c r="D42" s="145"/>
      <c r="E42" s="145"/>
      <c r="F42" s="145"/>
      <c r="G42" s="145"/>
      <c r="H42" s="145"/>
      <c r="I42" s="145"/>
      <c r="J42" s="145"/>
      <c r="K42" s="145"/>
      <c r="L42" s="145"/>
      <c r="M42" s="145"/>
      <c r="N42" s="145"/>
      <c r="O42" s="145"/>
      <c r="P42" s="145"/>
      <c r="T42" s="142"/>
      <c r="AF42" s="145"/>
      <c r="AG42" s="145"/>
    </row>
    <row r="43" spans="1:41" s="138" customFormat="1" ht="15.75">
      <c r="A43" s="459" t="s">
        <v>542</v>
      </c>
      <c r="B43" s="168"/>
      <c r="C43" s="168"/>
      <c r="D43" s="168"/>
      <c r="E43" s="168"/>
      <c r="F43" s="168"/>
      <c r="G43" s="168"/>
      <c r="H43" s="168"/>
      <c r="I43" s="168"/>
      <c r="J43" s="168"/>
      <c r="K43" s="168"/>
      <c r="L43" s="168"/>
      <c r="M43" s="168"/>
      <c r="N43" s="168"/>
      <c r="O43" s="168"/>
      <c r="P43" s="168"/>
      <c r="T43" s="169"/>
    </row>
    <row r="44" spans="1:41" ht="74.25" customHeight="1">
      <c r="A44" s="460" t="s">
        <v>484</v>
      </c>
      <c r="B44" s="89" t="s">
        <v>543</v>
      </c>
      <c r="C44" s="89" t="s">
        <v>544</v>
      </c>
      <c r="D44" s="89" t="s">
        <v>545</v>
      </c>
      <c r="E44" s="89" t="s">
        <v>546</v>
      </c>
      <c r="F44" s="89" t="s">
        <v>547</v>
      </c>
      <c r="G44" s="89" t="s">
        <v>548</v>
      </c>
      <c r="H44" s="89" t="s">
        <v>549</v>
      </c>
      <c r="I44" s="140" t="s">
        <v>550</v>
      </c>
      <c r="J44" s="89" t="s">
        <v>551</v>
      </c>
      <c r="K44" s="89" t="s">
        <v>552</v>
      </c>
      <c r="L44" s="89" t="s">
        <v>553</v>
      </c>
      <c r="M44" s="140" t="s">
        <v>554</v>
      </c>
      <c r="N44" s="89" t="s">
        <v>555</v>
      </c>
      <c r="O44" s="89" t="s">
        <v>556</v>
      </c>
      <c r="P44" s="89" t="s">
        <v>557</v>
      </c>
      <c r="Q44" s="140" t="s">
        <v>558</v>
      </c>
      <c r="R44" s="89" t="s">
        <v>559</v>
      </c>
      <c r="S44" s="89" t="s">
        <v>560</v>
      </c>
      <c r="T44" s="170" t="s">
        <v>561</v>
      </c>
      <c r="U44" s="89" t="s">
        <v>562</v>
      </c>
      <c r="V44" s="89" t="s">
        <v>563</v>
      </c>
      <c r="W44" s="89" t="s">
        <v>564</v>
      </c>
      <c r="X44" s="89" t="s">
        <v>565</v>
      </c>
      <c r="Y44" s="89" t="s">
        <v>566</v>
      </c>
      <c r="Z44" s="89" t="s">
        <v>567</v>
      </c>
      <c r="AA44" s="89" t="s">
        <v>568</v>
      </c>
      <c r="AB44" s="89" t="s">
        <v>569</v>
      </c>
      <c r="AC44" s="89" t="s">
        <v>570</v>
      </c>
      <c r="AD44" s="89" t="s">
        <v>571</v>
      </c>
      <c r="AE44" s="89" t="s">
        <v>572</v>
      </c>
      <c r="AF44" s="89" t="s">
        <v>573</v>
      </c>
      <c r="AG44" s="89" t="s">
        <v>574</v>
      </c>
      <c r="AH44" s="89" t="s">
        <v>575</v>
      </c>
      <c r="AI44" s="89" t="s">
        <v>823</v>
      </c>
      <c r="AJ44" s="89" t="s">
        <v>889</v>
      </c>
      <c r="AK44" s="89" t="s">
        <v>957</v>
      </c>
      <c r="AL44" s="89" t="s">
        <v>955</v>
      </c>
      <c r="AM44" s="89" t="s">
        <v>979</v>
      </c>
    </row>
    <row r="45" spans="1:41">
      <c r="A45" s="107" t="s">
        <v>314</v>
      </c>
      <c r="B45" s="96"/>
      <c r="C45" s="96"/>
      <c r="D45" s="96"/>
      <c r="E45" s="96"/>
      <c r="F45" s="96"/>
      <c r="G45" s="96"/>
      <c r="H45" s="145"/>
      <c r="I45" s="145"/>
      <c r="J45" s="145"/>
      <c r="K45" s="145"/>
      <c r="L45" s="145"/>
      <c r="M45" s="145"/>
      <c r="N45" s="145"/>
      <c r="O45" s="145"/>
      <c r="P45" s="145"/>
      <c r="T45" s="142"/>
    </row>
    <row r="46" spans="1:41">
      <c r="A46" s="107" t="s">
        <v>315</v>
      </c>
      <c r="B46" s="96"/>
      <c r="C46" s="96"/>
      <c r="D46" s="96"/>
      <c r="E46" s="96"/>
      <c r="F46" s="96"/>
      <c r="G46" s="96"/>
      <c r="H46" s="145"/>
      <c r="I46" s="145"/>
      <c r="J46" s="145"/>
      <c r="K46" s="145"/>
      <c r="L46" s="145"/>
      <c r="M46" s="145"/>
      <c r="N46" s="145"/>
      <c r="O46" s="145"/>
      <c r="P46" s="145"/>
      <c r="T46" s="142"/>
    </row>
    <row r="47" spans="1:41">
      <c r="A47" s="107" t="s">
        <v>316</v>
      </c>
      <c r="B47" s="96">
        <v>17108018</v>
      </c>
      <c r="C47" s="96">
        <v>17123302</v>
      </c>
      <c r="D47" s="96">
        <v>17113632</v>
      </c>
      <c r="E47" s="96">
        <v>17524936</v>
      </c>
      <c r="F47" s="96">
        <v>17402446</v>
      </c>
      <c r="G47" s="96">
        <v>17600406</v>
      </c>
      <c r="H47" s="96">
        <v>18040324</v>
      </c>
      <c r="I47" s="96">
        <v>21636317</v>
      </c>
      <c r="J47" s="96">
        <v>22013708</v>
      </c>
      <c r="K47" s="96">
        <v>22298453</v>
      </c>
      <c r="L47" s="96">
        <v>22639534</v>
      </c>
      <c r="M47" s="96">
        <v>23300643</v>
      </c>
      <c r="N47" s="96">
        <v>24223173</v>
      </c>
      <c r="O47" s="96">
        <v>23575461</v>
      </c>
      <c r="P47" s="96">
        <v>24147608</v>
      </c>
      <c r="Q47" s="96">
        <v>25127639</v>
      </c>
      <c r="R47" s="96">
        <v>25237787</v>
      </c>
      <c r="S47" s="96">
        <v>25446259</v>
      </c>
      <c r="T47" s="144">
        <v>25740388</v>
      </c>
      <c r="U47" s="144">
        <v>24850942</v>
      </c>
      <c r="V47" s="144">
        <v>25198531</v>
      </c>
      <c r="W47" s="144">
        <v>25738123</v>
      </c>
      <c r="X47" s="144">
        <v>26239783</v>
      </c>
      <c r="Y47" s="144">
        <v>24882817</v>
      </c>
      <c r="Z47" s="144">
        <v>25330290</v>
      </c>
      <c r="AA47" s="144">
        <v>25066173</v>
      </c>
      <c r="AB47" s="144">
        <v>25637117</v>
      </c>
      <c r="AC47" s="144">
        <v>26355189</v>
      </c>
      <c r="AD47" s="144">
        <v>26577498</v>
      </c>
      <c r="AE47" s="144">
        <v>26988492</v>
      </c>
      <c r="AF47" s="142">
        <v>27287025</v>
      </c>
      <c r="AG47" s="142">
        <v>28079886</v>
      </c>
      <c r="AH47" s="142">
        <v>28233340</v>
      </c>
      <c r="AI47" s="142">
        <v>28402897</v>
      </c>
      <c r="AJ47" s="142">
        <v>28820594</v>
      </c>
      <c r="AK47" s="142">
        <v>29406667</v>
      </c>
      <c r="AL47" s="142">
        <v>29676465</v>
      </c>
      <c r="AM47" s="142">
        <v>29887481</v>
      </c>
    </row>
    <row r="48" spans="1:41">
      <c r="A48" s="107" t="s">
        <v>941</v>
      </c>
      <c r="B48" s="179">
        <v>0</v>
      </c>
      <c r="C48" s="179">
        <v>0</v>
      </c>
      <c r="D48" s="179">
        <v>0</v>
      </c>
      <c r="E48" s="179">
        <v>0</v>
      </c>
      <c r="F48" s="179">
        <v>0</v>
      </c>
      <c r="G48" s="179">
        <v>0</v>
      </c>
      <c r="H48" s="179">
        <v>0</v>
      </c>
      <c r="I48" s="179">
        <v>0</v>
      </c>
      <c r="J48" s="179">
        <v>0</v>
      </c>
      <c r="K48" s="179">
        <v>0</v>
      </c>
      <c r="L48" s="179">
        <v>0</v>
      </c>
      <c r="M48" s="179">
        <v>0</v>
      </c>
      <c r="N48" s="179">
        <v>0</v>
      </c>
      <c r="O48" s="179">
        <v>0</v>
      </c>
      <c r="P48" s="179">
        <v>0</v>
      </c>
      <c r="Q48" s="179">
        <v>0</v>
      </c>
      <c r="R48" s="179">
        <v>0</v>
      </c>
      <c r="S48" s="179">
        <v>0</v>
      </c>
      <c r="T48" s="179">
        <v>0</v>
      </c>
      <c r="U48" s="179">
        <v>0</v>
      </c>
      <c r="V48" s="179">
        <v>0</v>
      </c>
      <c r="W48" s="179">
        <v>0</v>
      </c>
      <c r="X48" s="179">
        <v>0</v>
      </c>
      <c r="Y48" s="179">
        <v>0</v>
      </c>
      <c r="Z48" s="179">
        <v>0</v>
      </c>
      <c r="AA48" s="179">
        <v>0</v>
      </c>
      <c r="AB48" s="179">
        <v>0</v>
      </c>
      <c r="AC48" s="179">
        <v>0</v>
      </c>
      <c r="AD48" s="179">
        <v>0</v>
      </c>
      <c r="AE48" s="179">
        <v>0</v>
      </c>
      <c r="AF48" s="179">
        <v>0</v>
      </c>
      <c r="AG48" s="179">
        <v>0</v>
      </c>
      <c r="AH48" s="179">
        <v>0</v>
      </c>
      <c r="AI48" s="179">
        <v>0</v>
      </c>
      <c r="AJ48" s="179">
        <v>0</v>
      </c>
      <c r="AK48" s="179">
        <v>0</v>
      </c>
      <c r="AL48" s="142">
        <v>1368218</v>
      </c>
      <c r="AM48" s="142">
        <v>1330056</v>
      </c>
    </row>
    <row r="49" spans="1:39">
      <c r="A49" s="107" t="s">
        <v>317</v>
      </c>
      <c r="B49" s="672" t="s">
        <v>56</v>
      </c>
      <c r="C49" s="672" t="s">
        <v>57</v>
      </c>
      <c r="D49" s="672" t="s">
        <v>58</v>
      </c>
      <c r="E49" s="672" t="s">
        <v>59</v>
      </c>
      <c r="F49" s="672" t="s">
        <v>60</v>
      </c>
      <c r="G49" s="672" t="s">
        <v>61</v>
      </c>
      <c r="H49" s="672" t="s">
        <v>62</v>
      </c>
      <c r="I49" s="96">
        <v>247057</v>
      </c>
      <c r="J49" s="672" t="s">
        <v>63</v>
      </c>
      <c r="K49" s="672" t="s">
        <v>64</v>
      </c>
      <c r="L49" s="672" t="s">
        <v>65</v>
      </c>
      <c r="M49" s="96">
        <v>247057</v>
      </c>
      <c r="N49" s="672" t="s">
        <v>66</v>
      </c>
      <c r="O49" s="672" t="s">
        <v>67</v>
      </c>
      <c r="P49" s="672" t="s">
        <v>68</v>
      </c>
      <c r="Q49" s="96">
        <v>247057</v>
      </c>
      <c r="R49" s="96">
        <v>247057</v>
      </c>
      <c r="S49" s="96">
        <v>247057</v>
      </c>
      <c r="T49" s="144">
        <v>247057</v>
      </c>
      <c r="U49" s="144">
        <v>195155</v>
      </c>
      <c r="V49" s="144">
        <v>195155</v>
      </c>
      <c r="W49" s="144">
        <v>195155</v>
      </c>
      <c r="X49" s="144">
        <v>195155</v>
      </c>
      <c r="Y49" s="144">
        <v>92059</v>
      </c>
      <c r="Z49" s="144">
        <v>92059</v>
      </c>
      <c r="AA49" s="144">
        <v>40156</v>
      </c>
      <c r="AB49" s="144">
        <v>40156</v>
      </c>
      <c r="AC49" s="144">
        <v>40156</v>
      </c>
      <c r="AD49" s="144">
        <v>40156</v>
      </c>
      <c r="AE49" s="144">
        <v>40156</v>
      </c>
      <c r="AF49" s="142">
        <v>40156</v>
      </c>
      <c r="AG49" s="142">
        <v>40156</v>
      </c>
      <c r="AH49" s="142">
        <v>40156</v>
      </c>
      <c r="AI49" s="142">
        <v>26183</v>
      </c>
      <c r="AJ49" s="142">
        <v>26183</v>
      </c>
      <c r="AK49" s="142">
        <v>26183</v>
      </c>
      <c r="AL49" s="142">
        <v>26183</v>
      </c>
      <c r="AM49" s="142">
        <v>26183</v>
      </c>
    </row>
    <row r="50" spans="1:39">
      <c r="A50" s="107" t="s">
        <v>319</v>
      </c>
      <c r="B50" s="693"/>
      <c r="C50" s="693"/>
      <c r="D50" s="693"/>
      <c r="E50" s="693"/>
      <c r="F50" s="693"/>
      <c r="G50" s="693"/>
      <c r="H50" s="693"/>
      <c r="I50" s="672" t="s">
        <v>105</v>
      </c>
      <c r="J50" s="693"/>
      <c r="K50" s="693"/>
      <c r="L50" s="693"/>
      <c r="M50" s="672" t="s">
        <v>106</v>
      </c>
      <c r="N50" s="693"/>
      <c r="O50" s="693"/>
      <c r="P50" s="693"/>
      <c r="Q50" s="672" t="s">
        <v>107</v>
      </c>
      <c r="R50" s="672" t="s">
        <v>108</v>
      </c>
      <c r="S50" s="672" t="s">
        <v>109</v>
      </c>
      <c r="T50" s="688" t="s">
        <v>110</v>
      </c>
      <c r="U50" s="688" t="s">
        <v>111</v>
      </c>
      <c r="V50" s="688" t="s">
        <v>112</v>
      </c>
      <c r="W50" s="688" t="s">
        <v>113</v>
      </c>
      <c r="X50" s="688" t="s">
        <v>114</v>
      </c>
      <c r="Y50" s="688" t="s">
        <v>115</v>
      </c>
      <c r="Z50" s="144">
        <f>1264766-72577</f>
        <v>1192189</v>
      </c>
      <c r="AA50" s="144">
        <f>1292124-94988</f>
        <v>1197136</v>
      </c>
      <c r="AB50" s="144">
        <f>1331601-119502</f>
        <v>1212099</v>
      </c>
      <c r="AC50" s="144">
        <v>1224427</v>
      </c>
      <c r="AD50" s="144">
        <v>1224507</v>
      </c>
      <c r="AE50" s="144">
        <v>1220949</v>
      </c>
      <c r="AF50" s="142">
        <v>1201710</v>
      </c>
      <c r="AG50" s="142">
        <v>1254077</v>
      </c>
      <c r="AH50" s="142">
        <v>1247530</v>
      </c>
      <c r="AI50" s="142">
        <v>1255282</v>
      </c>
      <c r="AJ50" s="142">
        <v>1255070</v>
      </c>
      <c r="AK50" s="142">
        <v>1287703</v>
      </c>
      <c r="AL50" s="142">
        <v>530531</v>
      </c>
      <c r="AM50" s="142">
        <v>519810</v>
      </c>
    </row>
    <row r="51" spans="1:39" ht="26.25">
      <c r="A51" s="413" t="s">
        <v>318</v>
      </c>
      <c r="B51" s="689"/>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144">
        <v>72577</v>
      </c>
      <c r="AA51" s="144">
        <v>94988</v>
      </c>
      <c r="AB51" s="144">
        <v>119502</v>
      </c>
      <c r="AC51" s="144">
        <v>126260</v>
      </c>
      <c r="AD51" s="144">
        <v>12342</v>
      </c>
      <c r="AE51" s="144">
        <v>24295</v>
      </c>
      <c r="AF51" s="142">
        <v>43341</v>
      </c>
      <c r="AG51" s="142">
        <v>303130</v>
      </c>
      <c r="AH51" s="142">
        <v>44589</v>
      </c>
      <c r="AI51" s="142">
        <v>77570</v>
      </c>
      <c r="AJ51" s="142">
        <v>176075</v>
      </c>
      <c r="AK51" s="142">
        <v>661603</v>
      </c>
      <c r="AL51" s="142">
        <v>67662</v>
      </c>
      <c r="AM51" s="142">
        <v>133412</v>
      </c>
    </row>
    <row r="52" spans="1:39">
      <c r="A52" s="107" t="s">
        <v>576</v>
      </c>
      <c r="B52" s="171">
        <v>0</v>
      </c>
      <c r="C52" s="171">
        <v>0</v>
      </c>
      <c r="D52" s="171">
        <v>0</v>
      </c>
      <c r="E52" s="96">
        <v>764</v>
      </c>
      <c r="F52" s="96">
        <v>13467</v>
      </c>
      <c r="G52" s="96">
        <v>13223</v>
      </c>
      <c r="H52" s="96">
        <v>23037</v>
      </c>
      <c r="I52" s="96">
        <v>22717</v>
      </c>
      <c r="J52" s="96">
        <v>22364</v>
      </c>
      <c r="K52" s="96">
        <v>22046</v>
      </c>
      <c r="L52" s="96">
        <v>54320</v>
      </c>
      <c r="M52" s="96">
        <v>51986</v>
      </c>
      <c r="N52" s="96">
        <v>49939</v>
      </c>
      <c r="O52" s="96">
        <v>48079</v>
      </c>
      <c r="P52" s="96">
        <v>46353</v>
      </c>
      <c r="Q52" s="96">
        <v>44398</v>
      </c>
      <c r="R52" s="96">
        <v>42837</v>
      </c>
      <c r="S52" s="96">
        <v>41286</v>
      </c>
      <c r="T52" s="144">
        <v>39689</v>
      </c>
      <c r="U52" s="144">
        <v>414584</v>
      </c>
      <c r="V52" s="144">
        <v>434010</v>
      </c>
      <c r="W52" s="144">
        <v>417429</v>
      </c>
      <c r="X52" s="144">
        <v>411881</v>
      </c>
      <c r="Y52" s="144">
        <v>418127</v>
      </c>
      <c r="Z52" s="144">
        <v>441190</v>
      </c>
      <c r="AA52" s="144">
        <v>462202</v>
      </c>
      <c r="AB52" s="144">
        <v>474615</v>
      </c>
      <c r="AC52" s="144">
        <v>461348</v>
      </c>
      <c r="AD52" s="144">
        <v>487146</v>
      </c>
      <c r="AE52" s="144">
        <v>475097</v>
      </c>
      <c r="AF52" s="142">
        <v>499690</v>
      </c>
      <c r="AG52" s="142">
        <v>499204</v>
      </c>
      <c r="AH52" s="142">
        <v>528633</v>
      </c>
      <c r="AI52" s="142">
        <v>536412</v>
      </c>
      <c r="AJ52" s="142">
        <v>528767</v>
      </c>
      <c r="AK52" s="142">
        <v>543913</v>
      </c>
      <c r="AL52" s="142">
        <v>585778</v>
      </c>
      <c r="AM52" s="142">
        <v>561896</v>
      </c>
    </row>
    <row r="53" spans="1:39">
      <c r="A53" s="107" t="s">
        <v>322</v>
      </c>
      <c r="B53" s="96">
        <v>176028</v>
      </c>
      <c r="C53" s="96">
        <v>208162</v>
      </c>
      <c r="D53" s="96">
        <v>207431</v>
      </c>
      <c r="E53" s="96">
        <v>177452</v>
      </c>
      <c r="F53" s="96">
        <v>193679</v>
      </c>
      <c r="G53" s="96">
        <v>185086</v>
      </c>
      <c r="H53" s="96">
        <v>306768</v>
      </c>
      <c r="I53" s="96">
        <v>193067</v>
      </c>
      <c r="J53" s="96">
        <v>197296</v>
      </c>
      <c r="K53" s="96">
        <v>271600</v>
      </c>
      <c r="L53" s="96">
        <v>246667</v>
      </c>
      <c r="M53" s="96">
        <v>305444</v>
      </c>
      <c r="N53" s="96">
        <v>343898</v>
      </c>
      <c r="O53" s="96">
        <v>377177</v>
      </c>
      <c r="P53" s="96">
        <v>380498</v>
      </c>
      <c r="Q53" s="96">
        <v>587166</v>
      </c>
      <c r="R53" s="96">
        <v>359305</v>
      </c>
      <c r="S53" s="96">
        <v>358775</v>
      </c>
      <c r="T53" s="144">
        <v>373664</v>
      </c>
      <c r="U53" s="144">
        <v>377383</v>
      </c>
      <c r="V53" s="144">
        <v>397611</v>
      </c>
      <c r="W53" s="144">
        <v>401622</v>
      </c>
      <c r="X53" s="144">
        <v>410692</v>
      </c>
      <c r="Y53" s="144">
        <v>433018</v>
      </c>
      <c r="Z53" s="144">
        <v>461673</v>
      </c>
      <c r="AA53" s="144">
        <v>463419</v>
      </c>
      <c r="AB53" s="144">
        <v>471433</v>
      </c>
      <c r="AC53" s="144">
        <v>468091</v>
      </c>
      <c r="AD53" s="144">
        <v>470662</v>
      </c>
      <c r="AE53" s="144">
        <v>456929</v>
      </c>
      <c r="AF53" s="142">
        <v>459973</v>
      </c>
      <c r="AG53" s="142">
        <v>479121</v>
      </c>
      <c r="AH53" s="142">
        <v>401911</v>
      </c>
      <c r="AI53" s="142">
        <v>433249</v>
      </c>
      <c r="AJ53" s="142">
        <v>464429</v>
      </c>
      <c r="AK53" s="142">
        <v>472079</v>
      </c>
      <c r="AL53" s="142">
        <v>450254</v>
      </c>
      <c r="AM53" s="142">
        <v>466048</v>
      </c>
    </row>
    <row r="54" spans="1:39">
      <c r="A54" s="107" t="s">
        <v>577</v>
      </c>
      <c r="B54" s="96">
        <v>85939</v>
      </c>
      <c r="C54" s="96">
        <v>123597</v>
      </c>
      <c r="D54" s="96">
        <v>123672</v>
      </c>
      <c r="E54" s="96">
        <v>181832</v>
      </c>
      <c r="F54" s="96">
        <v>147024</v>
      </c>
      <c r="G54" s="96">
        <v>138413</v>
      </c>
      <c r="H54" s="96">
        <v>118415</v>
      </c>
      <c r="I54" s="96">
        <v>144923</v>
      </c>
      <c r="J54" s="96">
        <v>217563</v>
      </c>
      <c r="K54" s="96">
        <v>216155</v>
      </c>
      <c r="L54" s="96">
        <v>293905</v>
      </c>
      <c r="M54" s="96">
        <v>359709</v>
      </c>
      <c r="N54" s="96">
        <v>387967</v>
      </c>
      <c r="O54" s="96">
        <v>403902</v>
      </c>
      <c r="P54" s="96">
        <v>460511</v>
      </c>
      <c r="Q54" s="96">
        <v>354704</v>
      </c>
      <c r="R54" s="96">
        <v>355911</v>
      </c>
      <c r="S54" s="96">
        <v>568819</v>
      </c>
      <c r="T54" s="144">
        <v>562331</v>
      </c>
      <c r="U54" s="144">
        <v>657943</v>
      </c>
      <c r="V54" s="144">
        <v>692424</v>
      </c>
      <c r="W54" s="144">
        <v>618471</v>
      </c>
      <c r="X54" s="144">
        <v>559551</v>
      </c>
      <c r="Y54" s="144">
        <v>550375</v>
      </c>
      <c r="Z54" s="144">
        <v>564338</v>
      </c>
      <c r="AA54" s="144">
        <v>514318</v>
      </c>
      <c r="AB54" s="144">
        <v>465787</v>
      </c>
      <c r="AC54" s="144">
        <v>422400</v>
      </c>
      <c r="AD54" s="144">
        <v>395180</v>
      </c>
      <c r="AE54" s="144">
        <v>365153</v>
      </c>
      <c r="AF54" s="142">
        <v>349675</v>
      </c>
      <c r="AG54" s="142">
        <v>346846</v>
      </c>
      <c r="AH54" s="142">
        <v>360009</v>
      </c>
      <c r="AI54" s="142">
        <v>303232</v>
      </c>
      <c r="AJ54" s="142">
        <v>293597</v>
      </c>
      <c r="AK54" s="142">
        <v>168051</v>
      </c>
      <c r="AL54" s="142">
        <v>156183</v>
      </c>
      <c r="AM54" s="142">
        <v>148818</v>
      </c>
    </row>
    <row r="55" spans="1:39">
      <c r="A55" s="121" t="s">
        <v>578</v>
      </c>
      <c r="B55" s="126">
        <v>113834</v>
      </c>
      <c r="C55" s="126">
        <v>126835</v>
      </c>
      <c r="D55" s="126">
        <v>147199</v>
      </c>
      <c r="E55" s="126">
        <v>163063</v>
      </c>
      <c r="F55" s="126">
        <v>158726</v>
      </c>
      <c r="G55" s="126">
        <v>158197</v>
      </c>
      <c r="H55" s="126">
        <v>159807</v>
      </c>
      <c r="I55" s="126">
        <v>20079</v>
      </c>
      <c r="J55" s="126">
        <v>8487</v>
      </c>
      <c r="K55" s="126">
        <v>25684</v>
      </c>
      <c r="L55" s="126">
        <v>16219</v>
      </c>
      <c r="M55" s="126">
        <v>24135</v>
      </c>
      <c r="N55" s="126">
        <v>31855</v>
      </c>
      <c r="O55" s="126">
        <v>40791</v>
      </c>
      <c r="P55" s="126">
        <v>42727</v>
      </c>
      <c r="Q55" s="126">
        <v>46039</v>
      </c>
      <c r="R55" s="126">
        <v>33505</v>
      </c>
      <c r="S55" s="126">
        <v>28908</v>
      </c>
      <c r="T55" s="147">
        <v>35093</v>
      </c>
      <c r="U55" s="147">
        <v>62108</v>
      </c>
      <c r="V55" s="147">
        <v>35086</v>
      </c>
      <c r="W55" s="147">
        <v>49650</v>
      </c>
      <c r="X55" s="147">
        <v>53427</v>
      </c>
      <c r="Y55" s="147">
        <v>54184</v>
      </c>
      <c r="Z55" s="147">
        <v>52696</v>
      </c>
      <c r="AA55" s="147">
        <v>65730</v>
      </c>
      <c r="AB55" s="147">
        <v>65758</v>
      </c>
      <c r="AC55" s="147">
        <v>50382</v>
      </c>
      <c r="AD55" s="147">
        <v>43537</v>
      </c>
      <c r="AE55" s="147">
        <v>45442</v>
      </c>
      <c r="AF55" s="147">
        <v>45486</v>
      </c>
      <c r="AG55" s="147">
        <v>46122</v>
      </c>
      <c r="AH55" s="147">
        <v>42059</v>
      </c>
      <c r="AI55" s="147">
        <v>39762</v>
      </c>
      <c r="AJ55" s="147">
        <v>52132</v>
      </c>
      <c r="AK55" s="147">
        <v>30105</v>
      </c>
      <c r="AL55" s="147">
        <v>30755</v>
      </c>
      <c r="AM55" s="147">
        <v>30715</v>
      </c>
    </row>
    <row r="56" spans="1:39">
      <c r="A56" s="172"/>
      <c r="B56" s="111">
        <v>18034400</v>
      </c>
      <c r="C56" s="111">
        <v>18242724</v>
      </c>
      <c r="D56" s="111">
        <v>18382485</v>
      </c>
      <c r="E56" s="111">
        <v>18394387</v>
      </c>
      <c r="F56" s="111">
        <v>18700543</v>
      </c>
      <c r="G56" s="111">
        <v>18961611</v>
      </c>
      <c r="H56" s="111">
        <v>19706773</v>
      </c>
      <c r="I56" s="111">
        <v>23416777</v>
      </c>
      <c r="J56" s="111">
        <v>23446281</v>
      </c>
      <c r="K56" s="111">
        <v>23849197</v>
      </c>
      <c r="L56" s="111">
        <v>24272950</v>
      </c>
      <c r="M56" s="111">
        <v>25471230</v>
      </c>
      <c r="N56" s="111">
        <v>25650887</v>
      </c>
      <c r="O56" s="111">
        <v>25933097</v>
      </c>
      <c r="P56" s="111">
        <v>26595950</v>
      </c>
      <c r="Q56" s="111">
        <v>27567008</v>
      </c>
      <c r="R56" s="111">
        <v>27478594</v>
      </c>
      <c r="S56" s="111">
        <v>27954014</v>
      </c>
      <c r="T56" s="111">
        <v>28281793</v>
      </c>
      <c r="U56" s="111">
        <v>28162749</v>
      </c>
      <c r="V56" s="111">
        <v>28199905</v>
      </c>
      <c r="W56" s="111">
        <v>28691479</v>
      </c>
      <c r="X56" s="111">
        <v>29165948</v>
      </c>
      <c r="Y56" s="111">
        <v>28124185</v>
      </c>
      <c r="Z56" s="111">
        <v>28207012</v>
      </c>
      <c r="AA56" s="111">
        <v>27904122</v>
      </c>
      <c r="AB56" s="111">
        <v>28486467</v>
      </c>
      <c r="AC56" s="111">
        <v>29148253</v>
      </c>
      <c r="AD56" s="111">
        <v>29251028</v>
      </c>
      <c r="AE56" s="111">
        <v>29616513</v>
      </c>
      <c r="AF56" s="111">
        <v>29927056</v>
      </c>
      <c r="AG56" s="111">
        <v>31048542</v>
      </c>
      <c r="AH56" s="142">
        <v>30898227</v>
      </c>
      <c r="AI56" s="142">
        <v>31074587</v>
      </c>
      <c r="AJ56" s="142">
        <v>31616847</v>
      </c>
      <c r="AK56" s="142">
        <v>32596304</v>
      </c>
      <c r="AL56" s="142">
        <v>32892029</v>
      </c>
      <c r="AM56" s="142">
        <v>33104419</v>
      </c>
    </row>
    <row r="57" spans="1:39">
      <c r="A57" s="109" t="s">
        <v>325</v>
      </c>
      <c r="B57" s="450"/>
      <c r="C57" s="450"/>
      <c r="D57" s="450"/>
      <c r="E57" s="450"/>
      <c r="F57" s="450"/>
      <c r="G57" s="450"/>
      <c r="H57" s="450"/>
      <c r="I57" s="111"/>
      <c r="J57" s="111"/>
      <c r="K57" s="111"/>
      <c r="L57" s="111"/>
      <c r="M57" s="111"/>
      <c r="N57" s="111"/>
      <c r="O57" s="111"/>
      <c r="P57" s="111"/>
      <c r="Q57" s="111"/>
      <c r="R57" s="111"/>
      <c r="S57" s="111"/>
      <c r="T57" s="111"/>
      <c r="U57" s="111"/>
      <c r="V57" s="111"/>
      <c r="W57" s="111"/>
      <c r="X57" s="111"/>
      <c r="Y57" s="111"/>
      <c r="Z57" s="144"/>
      <c r="AA57" s="144"/>
      <c r="AF57" s="142"/>
      <c r="AG57" s="111"/>
      <c r="AH57" s="142"/>
    </row>
    <row r="58" spans="1:39" ht="26.25">
      <c r="A58" s="417" t="s">
        <v>318</v>
      </c>
      <c r="B58" s="450" t="s">
        <v>55</v>
      </c>
      <c r="C58" s="450" t="s">
        <v>55</v>
      </c>
      <c r="D58" s="450" t="s">
        <v>55</v>
      </c>
      <c r="E58" s="173">
        <v>624190</v>
      </c>
      <c r="F58" s="450" t="s">
        <v>55</v>
      </c>
      <c r="G58" s="450" t="s">
        <v>55</v>
      </c>
      <c r="H58" s="450" t="s">
        <v>55</v>
      </c>
      <c r="I58" s="111">
        <v>870954</v>
      </c>
      <c r="J58" s="111">
        <v>743420</v>
      </c>
      <c r="K58" s="111">
        <v>668742</v>
      </c>
      <c r="L58" s="111">
        <v>627786</v>
      </c>
      <c r="M58" s="111">
        <v>711099</v>
      </c>
      <c r="N58" s="173">
        <v>292319</v>
      </c>
      <c r="O58" s="111">
        <v>429828</v>
      </c>
      <c r="P58" s="111">
        <v>627524</v>
      </c>
      <c r="Q58" s="111">
        <v>1156550</v>
      </c>
      <c r="R58" s="111">
        <v>746775</v>
      </c>
      <c r="S58" s="111">
        <v>504066</v>
      </c>
      <c r="T58" s="111">
        <v>688814</v>
      </c>
      <c r="U58" s="173">
        <v>733048</v>
      </c>
      <c r="V58" s="111">
        <v>613984</v>
      </c>
      <c r="W58" s="111">
        <v>646617</v>
      </c>
      <c r="X58" s="111">
        <v>737632</v>
      </c>
      <c r="Y58" s="111">
        <v>805388</v>
      </c>
      <c r="Z58" s="111">
        <v>732752</v>
      </c>
      <c r="AA58" s="111">
        <v>648516</v>
      </c>
      <c r="AB58" s="111">
        <v>714412</v>
      </c>
      <c r="AC58" s="111">
        <v>980348</v>
      </c>
      <c r="AD58" s="111">
        <v>593390</v>
      </c>
      <c r="AE58" s="111">
        <v>462079</v>
      </c>
      <c r="AF58" s="142">
        <v>514495</v>
      </c>
      <c r="AG58" s="142">
        <v>652260</v>
      </c>
      <c r="AH58" s="142">
        <v>764295</v>
      </c>
      <c r="AI58" s="142">
        <v>399894</v>
      </c>
      <c r="AJ58" s="142">
        <v>550789</v>
      </c>
      <c r="AK58" s="142">
        <v>201663</v>
      </c>
      <c r="AL58" s="142">
        <v>823777</v>
      </c>
      <c r="AM58" s="142">
        <v>815925</v>
      </c>
    </row>
    <row r="59" spans="1:39">
      <c r="A59" s="109" t="s">
        <v>579</v>
      </c>
      <c r="B59" s="111">
        <v>445805</v>
      </c>
      <c r="C59" s="111">
        <v>439363</v>
      </c>
      <c r="D59" s="111">
        <v>439203</v>
      </c>
      <c r="E59" s="111">
        <v>408560</v>
      </c>
      <c r="F59" s="111">
        <v>352719</v>
      </c>
      <c r="G59" s="111">
        <v>388935</v>
      </c>
      <c r="H59" s="111">
        <v>405237</v>
      </c>
      <c r="I59" s="111">
        <v>574790</v>
      </c>
      <c r="J59" s="111">
        <v>538761</v>
      </c>
      <c r="K59" s="111">
        <v>532534</v>
      </c>
      <c r="L59" s="111">
        <v>504511</v>
      </c>
      <c r="M59" s="111">
        <v>708282</v>
      </c>
      <c r="N59" s="111">
        <v>533231</v>
      </c>
      <c r="O59" s="111">
        <v>464339</v>
      </c>
      <c r="P59" s="111">
        <v>476475</v>
      </c>
      <c r="Q59" s="111">
        <v>509224</v>
      </c>
      <c r="R59" s="111">
        <v>504152</v>
      </c>
      <c r="S59" s="111">
        <v>474560</v>
      </c>
      <c r="T59" s="111">
        <v>546739</v>
      </c>
      <c r="U59" s="111">
        <v>527596</v>
      </c>
      <c r="V59" s="111">
        <v>481059</v>
      </c>
      <c r="W59" s="111">
        <v>404450</v>
      </c>
      <c r="X59" s="111">
        <v>361351</v>
      </c>
      <c r="Y59" s="111">
        <v>433279</v>
      </c>
      <c r="Z59" s="111">
        <v>419298</v>
      </c>
      <c r="AA59" s="111">
        <v>404983</v>
      </c>
      <c r="AB59" s="111">
        <v>425213</v>
      </c>
      <c r="AC59" s="111">
        <v>486120</v>
      </c>
      <c r="AD59" s="111">
        <v>346459</v>
      </c>
      <c r="AE59" s="111">
        <v>356911</v>
      </c>
      <c r="AF59" s="142">
        <v>334677</v>
      </c>
      <c r="AG59" s="142">
        <v>295463</v>
      </c>
      <c r="AH59" s="142">
        <v>321813</v>
      </c>
      <c r="AI59" s="142">
        <v>364456</v>
      </c>
      <c r="AJ59" s="142">
        <v>442684</v>
      </c>
      <c r="AK59" s="142">
        <v>509801</v>
      </c>
      <c r="AL59" s="142">
        <v>791208</v>
      </c>
      <c r="AM59" s="142">
        <v>560026</v>
      </c>
    </row>
    <row r="60" spans="1:39">
      <c r="A60" s="109" t="s">
        <v>328</v>
      </c>
      <c r="B60" s="684" t="s">
        <v>580</v>
      </c>
      <c r="C60" s="685"/>
      <c r="D60" s="685"/>
      <c r="E60" s="685"/>
      <c r="F60" s="685"/>
      <c r="G60" s="685"/>
      <c r="H60" s="685"/>
      <c r="I60" s="685"/>
      <c r="J60" s="685"/>
      <c r="K60" s="685"/>
      <c r="L60" s="685"/>
      <c r="M60" s="685"/>
      <c r="N60" s="685"/>
      <c r="O60" s="685"/>
      <c r="P60" s="685"/>
      <c r="Q60" s="685"/>
      <c r="R60" s="685"/>
      <c r="S60" s="685"/>
      <c r="T60" s="685"/>
      <c r="U60" s="685"/>
      <c r="V60" s="685"/>
      <c r="W60" s="685"/>
      <c r="X60" s="685"/>
      <c r="Y60" s="685"/>
      <c r="Z60" s="111">
        <v>263847</v>
      </c>
      <c r="AA60" s="111">
        <v>115174</v>
      </c>
      <c r="AB60" s="111">
        <v>61690</v>
      </c>
      <c r="AC60" s="111">
        <v>263854</v>
      </c>
      <c r="AD60" s="111">
        <v>257866</v>
      </c>
      <c r="AE60" s="111">
        <v>195142</v>
      </c>
      <c r="AF60" s="142">
        <v>247219</v>
      </c>
      <c r="AG60" s="142">
        <v>244126</v>
      </c>
      <c r="AH60" s="142">
        <v>194041</v>
      </c>
      <c r="AI60" s="142">
        <v>223718</v>
      </c>
      <c r="AJ60" s="142">
        <v>165625</v>
      </c>
      <c r="AK60" s="142">
        <v>209746</v>
      </c>
      <c r="AL60" s="142">
        <v>144638</v>
      </c>
      <c r="AM60" s="142">
        <v>135414</v>
      </c>
    </row>
    <row r="61" spans="1:39">
      <c r="A61" s="109" t="s">
        <v>581</v>
      </c>
      <c r="B61" s="111">
        <v>44780</v>
      </c>
      <c r="C61" s="111">
        <v>43485</v>
      </c>
      <c r="D61" s="111">
        <v>48665</v>
      </c>
      <c r="E61" s="111">
        <v>74749</v>
      </c>
      <c r="F61" s="111">
        <v>65922</v>
      </c>
      <c r="G61" s="111">
        <v>14991</v>
      </c>
      <c r="H61" s="111">
        <v>26130</v>
      </c>
      <c r="I61" s="111">
        <v>64266</v>
      </c>
      <c r="J61" s="111">
        <v>122844</v>
      </c>
      <c r="K61" s="111">
        <v>78389</v>
      </c>
      <c r="L61" s="111">
        <v>19638</v>
      </c>
      <c r="M61" s="111">
        <v>1434</v>
      </c>
      <c r="N61" s="111">
        <v>119959</v>
      </c>
      <c r="O61" s="111">
        <v>23188</v>
      </c>
      <c r="P61" s="111">
        <v>801</v>
      </c>
      <c r="Q61" s="111">
        <v>31890</v>
      </c>
      <c r="R61" s="111">
        <v>82673</v>
      </c>
      <c r="S61" s="111">
        <v>92261</v>
      </c>
      <c r="T61" s="111">
        <v>14476</v>
      </c>
      <c r="U61" s="111">
        <v>26489</v>
      </c>
      <c r="V61" s="111">
        <v>5410</v>
      </c>
      <c r="W61" s="111">
        <v>53805</v>
      </c>
      <c r="X61" s="111">
        <v>1281</v>
      </c>
      <c r="Y61" s="111">
        <v>909</v>
      </c>
      <c r="Z61" s="691" t="s">
        <v>582</v>
      </c>
      <c r="AA61" s="692"/>
      <c r="AB61" s="692"/>
      <c r="AC61" s="692"/>
      <c r="AD61" s="675"/>
      <c r="AE61" s="675"/>
      <c r="AF61" s="675"/>
      <c r="AG61" s="675"/>
      <c r="AH61" s="675"/>
      <c r="AI61" s="675"/>
      <c r="AJ61" s="673"/>
      <c r="AK61" s="142">
        <v>14497</v>
      </c>
      <c r="AL61" s="142">
        <v>9806</v>
      </c>
      <c r="AM61" s="142">
        <v>72433</v>
      </c>
    </row>
    <row r="62" spans="1:39">
      <c r="A62" s="109" t="s">
        <v>583</v>
      </c>
      <c r="B62" s="111">
        <v>2162303</v>
      </c>
      <c r="C62" s="111">
        <v>2008653</v>
      </c>
      <c r="D62" s="111">
        <v>2039137</v>
      </c>
      <c r="E62" s="111">
        <v>2273145</v>
      </c>
      <c r="F62" s="111">
        <v>2483396</v>
      </c>
      <c r="G62" s="111">
        <v>2422059</v>
      </c>
      <c r="H62" s="111">
        <v>2237749</v>
      </c>
      <c r="I62" s="111">
        <v>2743344</v>
      </c>
      <c r="J62" s="111">
        <v>3115010</v>
      </c>
      <c r="K62" s="111">
        <v>2815297</v>
      </c>
      <c r="L62" s="111">
        <v>2850291</v>
      </c>
      <c r="M62" s="111">
        <v>3036695</v>
      </c>
      <c r="N62" s="111">
        <v>2842352</v>
      </c>
      <c r="O62" s="111">
        <v>2585447</v>
      </c>
      <c r="P62" s="111">
        <v>2137635</v>
      </c>
      <c r="Q62" s="111">
        <v>2134641</v>
      </c>
      <c r="R62" s="111">
        <v>2148195</v>
      </c>
      <c r="S62" s="111">
        <v>1933061</v>
      </c>
      <c r="T62" s="111">
        <v>1979723</v>
      </c>
      <c r="U62" s="111">
        <v>1969169</v>
      </c>
      <c r="V62" s="111">
        <v>1969398</v>
      </c>
      <c r="W62" s="111">
        <v>1879766</v>
      </c>
      <c r="X62" s="111">
        <v>1811345</v>
      </c>
      <c r="Y62" s="111">
        <v>1854595</v>
      </c>
      <c r="Z62" s="692"/>
      <c r="AA62" s="692"/>
      <c r="AB62" s="692"/>
      <c r="AC62" s="692"/>
      <c r="AD62" s="675"/>
      <c r="AE62" s="675"/>
      <c r="AF62" s="675"/>
      <c r="AG62" s="675"/>
      <c r="AH62" s="675"/>
      <c r="AI62" s="675"/>
      <c r="AJ62" s="673"/>
    </row>
    <row r="63" spans="1:39">
      <c r="A63" s="109" t="s">
        <v>327</v>
      </c>
      <c r="B63" s="684" t="s">
        <v>580</v>
      </c>
      <c r="C63" s="685"/>
      <c r="D63" s="685"/>
      <c r="E63" s="685"/>
      <c r="F63" s="685"/>
      <c r="G63" s="685"/>
      <c r="H63" s="685"/>
      <c r="I63" s="685"/>
      <c r="J63" s="685"/>
      <c r="K63" s="685"/>
      <c r="L63" s="685"/>
      <c r="M63" s="685"/>
      <c r="N63" s="685"/>
      <c r="O63" s="685"/>
      <c r="P63" s="685"/>
      <c r="Q63" s="685"/>
      <c r="R63" s="685"/>
      <c r="S63" s="685"/>
      <c r="T63" s="685"/>
      <c r="U63" s="685"/>
      <c r="V63" s="685"/>
      <c r="W63" s="685"/>
      <c r="X63" s="685"/>
      <c r="Y63" s="685"/>
      <c r="Z63" s="111">
        <v>1811370</v>
      </c>
      <c r="AA63" s="111">
        <v>1695043</v>
      </c>
      <c r="AB63" s="111">
        <v>1625916</v>
      </c>
      <c r="AC63" s="111">
        <v>1894065</v>
      </c>
      <c r="AD63" s="111">
        <v>1891656</v>
      </c>
      <c r="AE63" s="111">
        <v>1742649</v>
      </c>
      <c r="AF63" s="142">
        <v>1782874</v>
      </c>
      <c r="AG63" s="142">
        <v>2032813</v>
      </c>
      <c r="AH63" s="142">
        <v>2059112</v>
      </c>
      <c r="AI63" s="142">
        <v>1847250</v>
      </c>
      <c r="AJ63" s="142">
        <v>1992658</v>
      </c>
      <c r="AK63" s="142">
        <v>2229363</v>
      </c>
      <c r="AL63" s="142">
        <v>2312931</v>
      </c>
      <c r="AM63" s="142">
        <v>2196958</v>
      </c>
    </row>
    <row r="64" spans="1:39">
      <c r="A64" s="109" t="s">
        <v>322</v>
      </c>
      <c r="B64" s="111">
        <v>100201</v>
      </c>
      <c r="C64" s="111">
        <v>42320</v>
      </c>
      <c r="D64" s="111">
        <v>57343</v>
      </c>
      <c r="E64" s="111">
        <v>28193</v>
      </c>
      <c r="F64" s="111">
        <v>18874</v>
      </c>
      <c r="G64" s="111">
        <v>9745</v>
      </c>
      <c r="H64" s="111">
        <v>9306</v>
      </c>
      <c r="I64" s="111">
        <v>108024</v>
      </c>
      <c r="J64" s="111">
        <v>4762</v>
      </c>
      <c r="K64" s="111">
        <v>9070</v>
      </c>
      <c r="L64" s="111">
        <v>12640</v>
      </c>
      <c r="M64" s="111">
        <v>5422</v>
      </c>
      <c r="N64" s="111">
        <v>9065</v>
      </c>
      <c r="O64" s="111">
        <v>11180</v>
      </c>
      <c r="P64" s="111">
        <v>6596</v>
      </c>
      <c r="Q64" s="111">
        <v>15878</v>
      </c>
      <c r="R64" s="111">
        <v>16103</v>
      </c>
      <c r="S64" s="111">
        <v>16510</v>
      </c>
      <c r="T64" s="111">
        <v>18525</v>
      </c>
      <c r="U64" s="111">
        <v>27539</v>
      </c>
      <c r="V64" s="111">
        <v>27458</v>
      </c>
      <c r="W64" s="111">
        <v>6359</v>
      </c>
      <c r="X64" s="111">
        <v>7518</v>
      </c>
      <c r="Y64" s="111">
        <v>9772</v>
      </c>
      <c r="Z64" s="111">
        <v>175292</v>
      </c>
      <c r="AA64" s="111">
        <v>253372</v>
      </c>
      <c r="AB64" s="111">
        <v>193216</v>
      </c>
      <c r="AC64" s="111">
        <v>94753</v>
      </c>
      <c r="AD64" s="111">
        <v>428033</v>
      </c>
      <c r="AE64" s="111">
        <v>475330</v>
      </c>
      <c r="AF64" s="142">
        <f>323514+200908</f>
        <v>524422</v>
      </c>
      <c r="AG64" s="142">
        <v>549598</v>
      </c>
      <c r="AH64" s="142">
        <v>591237</v>
      </c>
      <c r="AI64" s="142">
        <v>491441</v>
      </c>
      <c r="AJ64" s="142">
        <v>789489</v>
      </c>
      <c r="AK64" s="142">
        <v>443038</v>
      </c>
      <c r="AL64" s="142">
        <v>357866</v>
      </c>
      <c r="AM64" s="142">
        <v>1202816</v>
      </c>
    </row>
    <row r="65" spans="1:39">
      <c r="A65" s="109" t="s">
        <v>323</v>
      </c>
      <c r="B65" s="111">
        <v>256526</v>
      </c>
      <c r="C65" s="111">
        <v>185158</v>
      </c>
      <c r="D65" s="111">
        <v>157067</v>
      </c>
      <c r="E65" s="111">
        <v>145361</v>
      </c>
      <c r="F65" s="111">
        <v>314109</v>
      </c>
      <c r="G65" s="111">
        <v>226633</v>
      </c>
      <c r="H65" s="111">
        <v>187315</v>
      </c>
      <c r="I65" s="111">
        <v>234220</v>
      </c>
      <c r="J65" s="111">
        <v>324360</v>
      </c>
      <c r="K65" s="111">
        <v>296724</v>
      </c>
      <c r="L65" s="111">
        <v>226180</v>
      </c>
      <c r="M65" s="111">
        <v>272371</v>
      </c>
      <c r="N65" s="111">
        <v>260385</v>
      </c>
      <c r="O65" s="111">
        <v>294057</v>
      </c>
      <c r="P65" s="111">
        <v>198037</v>
      </c>
      <c r="Q65" s="111">
        <v>270429</v>
      </c>
      <c r="R65" s="111">
        <v>319724</v>
      </c>
      <c r="S65" s="111">
        <v>342953</v>
      </c>
      <c r="T65" s="111">
        <v>289821</v>
      </c>
      <c r="U65" s="111">
        <v>353989</v>
      </c>
      <c r="V65" s="111">
        <v>405087</v>
      </c>
      <c r="W65" s="111">
        <v>380516</v>
      </c>
      <c r="X65" s="111">
        <v>352176</v>
      </c>
      <c r="Y65" s="111">
        <v>460495</v>
      </c>
      <c r="Z65" s="111">
        <v>262604</v>
      </c>
      <c r="AA65" s="111">
        <v>205206</v>
      </c>
      <c r="AB65" s="111">
        <v>134842</v>
      </c>
      <c r="AC65" s="111">
        <v>185008</v>
      </c>
      <c r="AD65" s="111">
        <v>202761</v>
      </c>
      <c r="AE65" s="111">
        <v>147523</v>
      </c>
      <c r="AF65" s="142">
        <v>130127</v>
      </c>
      <c r="AG65" s="142">
        <v>87055</v>
      </c>
      <c r="AH65" s="142">
        <v>178434</v>
      </c>
      <c r="AI65" s="142">
        <v>146896</v>
      </c>
      <c r="AJ65" s="142">
        <v>129659</v>
      </c>
      <c r="AK65" s="142">
        <v>55629</v>
      </c>
      <c r="AL65" s="142">
        <v>136555</v>
      </c>
      <c r="AM65" s="142">
        <v>113967</v>
      </c>
    </row>
    <row r="66" spans="1:39">
      <c r="A66" s="109" t="s">
        <v>329</v>
      </c>
      <c r="B66" s="111">
        <v>758148</v>
      </c>
      <c r="C66" s="111">
        <v>1049221</v>
      </c>
      <c r="D66" s="111">
        <v>1387071</v>
      </c>
      <c r="E66" s="111">
        <v>1473981</v>
      </c>
      <c r="F66" s="111">
        <v>850022</v>
      </c>
      <c r="G66" s="111">
        <v>1376104</v>
      </c>
      <c r="H66" s="111">
        <v>884604</v>
      </c>
      <c r="I66" s="111">
        <v>505670</v>
      </c>
      <c r="J66" s="111">
        <v>546203</v>
      </c>
      <c r="K66" s="111">
        <v>705020</v>
      </c>
      <c r="L66" s="111">
        <v>1149481</v>
      </c>
      <c r="M66" s="111">
        <v>1030929</v>
      </c>
      <c r="N66" s="111">
        <v>1007246</v>
      </c>
      <c r="O66" s="111">
        <v>912712</v>
      </c>
      <c r="P66" s="111">
        <v>1346190</v>
      </c>
      <c r="Q66" s="111">
        <v>636909</v>
      </c>
      <c r="R66" s="111">
        <v>347699</v>
      </c>
      <c r="S66" s="111">
        <v>246144</v>
      </c>
      <c r="T66" s="111">
        <v>303515</v>
      </c>
      <c r="U66" s="111">
        <v>1420909</v>
      </c>
      <c r="V66" s="111">
        <v>1124268</v>
      </c>
      <c r="W66" s="111">
        <v>915135</v>
      </c>
      <c r="X66" s="111">
        <v>1114760</v>
      </c>
      <c r="Y66" s="111">
        <v>364912</v>
      </c>
      <c r="Z66" s="111">
        <v>360118</v>
      </c>
      <c r="AA66" s="111">
        <v>422123</v>
      </c>
      <c r="AB66" s="111">
        <v>261017</v>
      </c>
      <c r="AC66" s="111">
        <v>384881</v>
      </c>
      <c r="AD66" s="111">
        <v>229386</v>
      </c>
      <c r="AE66" s="111">
        <v>210379</v>
      </c>
      <c r="AF66" s="142">
        <v>2141776</v>
      </c>
      <c r="AG66" s="142">
        <v>909249</v>
      </c>
      <c r="AH66" s="142">
        <v>457909</v>
      </c>
      <c r="AI66" s="142">
        <v>491378</v>
      </c>
      <c r="AJ66" s="142">
        <v>754353</v>
      </c>
      <c r="AK66" s="142">
        <v>823724</v>
      </c>
      <c r="AL66" s="142">
        <v>789352</v>
      </c>
      <c r="AM66" s="142">
        <v>960470</v>
      </c>
    </row>
    <row r="67" spans="1:39" ht="26.25">
      <c r="A67" s="464" t="s">
        <v>584</v>
      </c>
      <c r="B67" s="126">
        <v>5820</v>
      </c>
      <c r="C67" s="126">
        <v>5778</v>
      </c>
      <c r="D67" s="126">
        <v>4205</v>
      </c>
      <c r="E67" s="126">
        <v>4397</v>
      </c>
      <c r="F67" s="126">
        <v>4397</v>
      </c>
      <c r="G67" s="126">
        <v>4397</v>
      </c>
      <c r="H67" s="126">
        <v>4397</v>
      </c>
      <c r="I67" s="126">
        <v>8951</v>
      </c>
      <c r="J67" s="126">
        <v>10846</v>
      </c>
      <c r="K67" s="126">
        <v>13133</v>
      </c>
      <c r="L67" s="126">
        <v>13181</v>
      </c>
      <c r="M67" s="126">
        <v>36215</v>
      </c>
      <c r="N67" s="126">
        <v>34229</v>
      </c>
      <c r="O67" s="126">
        <v>35833</v>
      </c>
      <c r="P67" s="126">
        <v>36069</v>
      </c>
      <c r="Q67" s="126">
        <v>33041</v>
      </c>
      <c r="R67" s="126">
        <v>26162</v>
      </c>
      <c r="S67" s="126">
        <v>13668</v>
      </c>
      <c r="T67" s="126">
        <v>13683</v>
      </c>
      <c r="U67" s="126">
        <v>1337705</v>
      </c>
      <c r="V67" s="126">
        <v>1346423</v>
      </c>
      <c r="W67" s="126">
        <v>1343947</v>
      </c>
      <c r="X67" s="126">
        <v>1397917</v>
      </c>
      <c r="Y67" s="126">
        <v>17898</v>
      </c>
      <c r="Z67" s="126">
        <v>18258</v>
      </c>
      <c r="AA67" s="126">
        <v>13283</v>
      </c>
      <c r="AB67" s="126">
        <v>10913</v>
      </c>
      <c r="AC67" s="126">
        <v>19612</v>
      </c>
      <c r="AD67" s="126">
        <v>15552</v>
      </c>
      <c r="AE67" s="126">
        <v>19368</v>
      </c>
      <c r="AF67" s="126">
        <v>17262</v>
      </c>
      <c r="AG67" s="126">
        <v>15910</v>
      </c>
      <c r="AH67" s="126">
        <v>15727</v>
      </c>
      <c r="AI67" s="126">
        <v>13062</v>
      </c>
      <c r="AJ67" s="126">
        <v>12922</v>
      </c>
      <c r="AK67" s="126">
        <v>13712</v>
      </c>
      <c r="AL67" s="126">
        <v>25259</v>
      </c>
      <c r="AM67" s="126">
        <v>21071</v>
      </c>
    </row>
    <row r="68" spans="1:39">
      <c r="A68" s="107"/>
      <c r="B68" s="96">
        <f>3767763+B67</f>
        <v>3773583</v>
      </c>
      <c r="C68" s="96">
        <f>3768200+C67</f>
        <v>3773978</v>
      </c>
      <c r="D68" s="96">
        <f>4128486+D67</f>
        <v>4132691</v>
      </c>
      <c r="E68" s="96">
        <f>5028179+E67</f>
        <v>5032576</v>
      </c>
      <c r="F68" s="96">
        <f>4085042+F67</f>
        <v>4089439</v>
      </c>
      <c r="G68" s="96">
        <f>4438467+G67</f>
        <v>4442864</v>
      </c>
      <c r="H68" s="96">
        <f>3750341+H67</f>
        <v>3754738</v>
      </c>
      <c r="I68" s="96">
        <f>5101268+I67</f>
        <v>5110219</v>
      </c>
      <c r="J68" s="96">
        <f>5395360+J67</f>
        <v>5406206</v>
      </c>
      <c r="K68" s="96">
        <f>5105776+K67</f>
        <v>5118909</v>
      </c>
      <c r="L68" s="96">
        <f>5390527+L67</f>
        <v>5403708</v>
      </c>
      <c r="M68" s="96">
        <f>5766232+M67</f>
        <v>5802447</v>
      </c>
      <c r="N68" s="96">
        <f>5064557+N67</f>
        <v>5098786</v>
      </c>
      <c r="O68" s="174">
        <f>4720751+O67</f>
        <v>4756584</v>
      </c>
      <c r="P68" s="174">
        <f>4793258+P67</f>
        <v>4829327</v>
      </c>
      <c r="Q68" s="174">
        <f>4755521+Q67</f>
        <v>4788562</v>
      </c>
      <c r="R68" s="174">
        <f>4165321+R67</f>
        <v>4191483</v>
      </c>
      <c r="S68" s="174">
        <f>3609555+S67</f>
        <v>3623223</v>
      </c>
      <c r="T68" s="174">
        <f>3841613+T67</f>
        <v>3855296</v>
      </c>
      <c r="U68" s="174">
        <v>6396444</v>
      </c>
      <c r="V68" s="174">
        <v>5973087</v>
      </c>
      <c r="W68" s="174">
        <v>5630595</v>
      </c>
      <c r="X68" s="174">
        <v>5783980</v>
      </c>
      <c r="Y68" s="174">
        <v>3947248</v>
      </c>
      <c r="Z68" s="174">
        <v>4043539</v>
      </c>
      <c r="AA68" s="174">
        <v>3757700</v>
      </c>
      <c r="AB68" s="174">
        <v>3427219</v>
      </c>
      <c r="AC68" s="174">
        <v>4308641</v>
      </c>
      <c r="AD68" s="174">
        <v>3965103</v>
      </c>
      <c r="AE68" s="174">
        <v>3609381</v>
      </c>
      <c r="AF68" s="142">
        <v>5692852</v>
      </c>
      <c r="AG68" s="142">
        <v>4786474</v>
      </c>
      <c r="AH68" s="142">
        <v>4582568</v>
      </c>
      <c r="AI68" s="142">
        <v>3978095</v>
      </c>
      <c r="AJ68" s="142">
        <v>4838179</v>
      </c>
      <c r="AK68" s="142">
        <v>4501173</v>
      </c>
      <c r="AL68" s="142">
        <v>5391392</v>
      </c>
      <c r="AM68" s="142">
        <v>6079080</v>
      </c>
    </row>
    <row r="69" spans="1:39">
      <c r="A69" s="107"/>
      <c r="B69" s="96"/>
      <c r="C69" s="96"/>
      <c r="D69" s="96"/>
      <c r="E69" s="96"/>
      <c r="F69" s="96"/>
      <c r="G69" s="96"/>
      <c r="H69" s="96"/>
      <c r="I69" s="96"/>
      <c r="J69" s="96"/>
      <c r="K69" s="96"/>
      <c r="L69" s="96"/>
      <c r="M69" s="96"/>
      <c r="N69" s="96"/>
      <c r="O69" s="153"/>
      <c r="P69" s="153"/>
      <c r="Q69" s="153"/>
      <c r="R69" s="153"/>
      <c r="S69" s="153"/>
      <c r="T69" s="153"/>
      <c r="U69" s="153"/>
      <c r="V69" s="153"/>
      <c r="W69" s="153"/>
      <c r="X69" s="153"/>
      <c r="Y69" s="153"/>
      <c r="Z69" s="153"/>
      <c r="AA69" s="153"/>
      <c r="AF69" s="142"/>
      <c r="AG69" s="142"/>
      <c r="AH69" s="142"/>
      <c r="AI69" s="142"/>
    </row>
    <row r="70" spans="1:39">
      <c r="A70" s="90" t="s">
        <v>331</v>
      </c>
      <c r="B70" s="175">
        <v>21807983</v>
      </c>
      <c r="C70" s="175">
        <v>22016702</v>
      </c>
      <c r="D70" s="175">
        <v>22515176</v>
      </c>
      <c r="E70" s="175">
        <v>23426963</v>
      </c>
      <c r="F70" s="175">
        <v>22789982</v>
      </c>
      <c r="G70" s="175">
        <v>23404475</v>
      </c>
      <c r="H70" s="175">
        <v>23461511</v>
      </c>
      <c r="I70" s="175">
        <v>28526996</v>
      </c>
      <c r="J70" s="175">
        <v>28852487</v>
      </c>
      <c r="K70" s="175">
        <v>28968106</v>
      </c>
      <c r="L70" s="175">
        <v>29676658</v>
      </c>
      <c r="M70" s="175">
        <v>31273677</v>
      </c>
      <c r="N70" s="175">
        <v>30749673</v>
      </c>
      <c r="O70" s="175">
        <v>30689681</v>
      </c>
      <c r="P70" s="175">
        <v>31425277</v>
      </c>
      <c r="Q70" s="175">
        <v>32355570</v>
      </c>
      <c r="R70" s="175">
        <v>31670077</v>
      </c>
      <c r="S70" s="175">
        <v>31577237</v>
      </c>
      <c r="T70" s="175">
        <v>32137089</v>
      </c>
      <c r="U70" s="175">
        <v>34559193</v>
      </c>
      <c r="V70" s="175">
        <v>34172992</v>
      </c>
      <c r="W70" s="175">
        <v>34322074</v>
      </c>
      <c r="X70" s="175">
        <v>34949928</v>
      </c>
      <c r="Y70" s="175">
        <v>32071433</v>
      </c>
      <c r="Z70" s="175">
        <v>32250551</v>
      </c>
      <c r="AA70" s="175">
        <v>31661822</v>
      </c>
      <c r="AB70" s="175">
        <v>31913686</v>
      </c>
      <c r="AC70" s="175">
        <v>33456894</v>
      </c>
      <c r="AD70" s="175">
        <v>33216131</v>
      </c>
      <c r="AE70" s="175">
        <v>33225894</v>
      </c>
      <c r="AF70" s="175">
        <v>35619908</v>
      </c>
      <c r="AG70" s="175">
        <v>35835016</v>
      </c>
      <c r="AH70" s="175">
        <v>35480795</v>
      </c>
      <c r="AI70" s="175">
        <v>35052682</v>
      </c>
      <c r="AJ70" s="175">
        <v>36455026</v>
      </c>
      <c r="AK70" s="175">
        <v>37097477</v>
      </c>
      <c r="AL70" s="175">
        <v>38283421</v>
      </c>
      <c r="AM70" s="175">
        <v>39183499</v>
      </c>
    </row>
    <row r="71" spans="1:39">
      <c r="A71" s="107"/>
      <c r="B71" s="96"/>
      <c r="C71" s="96"/>
      <c r="D71" s="96"/>
      <c r="E71" s="96"/>
      <c r="F71" s="96"/>
      <c r="G71" s="96"/>
      <c r="H71" s="96"/>
      <c r="I71" s="96"/>
      <c r="J71" s="96"/>
      <c r="K71" s="96"/>
      <c r="L71" s="96"/>
      <c r="M71" s="96"/>
      <c r="N71" s="96"/>
      <c r="O71" s="96"/>
      <c r="P71" s="96"/>
      <c r="Q71" s="176"/>
      <c r="R71" s="176"/>
      <c r="S71" s="176"/>
      <c r="T71" s="176"/>
      <c r="U71" s="177"/>
      <c r="V71" s="177"/>
      <c r="W71" s="177"/>
      <c r="X71" s="177"/>
      <c r="Y71" s="177"/>
      <c r="Z71" s="177"/>
      <c r="AA71" s="177"/>
      <c r="AB71" s="177"/>
      <c r="AC71" s="177"/>
      <c r="AD71" s="177"/>
      <c r="AE71" s="177"/>
      <c r="AF71" s="177"/>
      <c r="AG71" s="177"/>
      <c r="AH71" s="177"/>
      <c r="AI71" s="177"/>
      <c r="AJ71" s="177"/>
      <c r="AK71" s="177"/>
      <c r="AL71" s="177"/>
      <c r="AM71" s="177"/>
    </row>
    <row r="72" spans="1:39">
      <c r="A72" s="156" t="s">
        <v>332</v>
      </c>
      <c r="B72" s="108"/>
      <c r="C72" s="108"/>
      <c r="D72" s="108"/>
      <c r="E72" s="108"/>
      <c r="F72" s="108"/>
      <c r="G72" s="108"/>
      <c r="H72" s="108"/>
      <c r="I72" s="108"/>
      <c r="J72" s="108"/>
      <c r="K72" s="108"/>
      <c r="L72" s="108"/>
      <c r="M72" s="108"/>
      <c r="N72" s="108"/>
      <c r="O72" s="108"/>
      <c r="P72" s="108"/>
      <c r="T72" s="142"/>
      <c r="AF72" s="142"/>
    </row>
    <row r="73" spans="1:39" ht="26.25">
      <c r="A73" s="417" t="s">
        <v>585</v>
      </c>
      <c r="B73" s="111"/>
      <c r="C73" s="111"/>
      <c r="D73" s="111"/>
      <c r="E73" s="111"/>
      <c r="F73" s="111"/>
      <c r="G73" s="111"/>
      <c r="H73" s="111"/>
      <c r="I73" s="111"/>
      <c r="J73" s="111"/>
      <c r="K73" s="111"/>
      <c r="L73" s="111"/>
      <c r="M73" s="111"/>
      <c r="N73" s="111"/>
      <c r="O73" s="111"/>
      <c r="P73" s="111"/>
      <c r="T73" s="142"/>
      <c r="AF73" s="142"/>
    </row>
    <row r="74" spans="1:39">
      <c r="A74" s="109" t="s">
        <v>334</v>
      </c>
      <c r="B74" s="144">
        <v>13986284</v>
      </c>
      <c r="C74" s="144">
        <v>14304949</v>
      </c>
      <c r="D74" s="144">
        <v>14304949</v>
      </c>
      <c r="E74" s="144">
        <v>15772945</v>
      </c>
      <c r="F74" s="144">
        <v>8762747</v>
      </c>
      <c r="G74" s="144">
        <v>8762747</v>
      </c>
      <c r="H74" s="144">
        <v>8762747</v>
      </c>
      <c r="I74" s="144">
        <v>8762747</v>
      </c>
      <c r="J74" s="144">
        <v>8762747</v>
      </c>
      <c r="K74" s="144">
        <v>8762747</v>
      </c>
      <c r="L74" s="144">
        <v>8762747</v>
      </c>
      <c r="M74" s="144">
        <v>8762747</v>
      </c>
      <c r="N74" s="144">
        <v>8762747</v>
      </c>
      <c r="O74" s="144">
        <v>8762747</v>
      </c>
      <c r="P74" s="144">
        <v>8762747</v>
      </c>
      <c r="Q74" s="144">
        <v>8762747</v>
      </c>
      <c r="R74" s="144">
        <v>8762747</v>
      </c>
      <c r="S74" s="144">
        <v>8762747</v>
      </c>
      <c r="T74" s="144">
        <v>8762747</v>
      </c>
      <c r="U74" s="144">
        <v>8762747</v>
      </c>
      <c r="V74" s="144">
        <v>8762747</v>
      </c>
      <c r="W74" s="144">
        <v>8762747</v>
      </c>
      <c r="X74" s="144">
        <v>8762747</v>
      </c>
      <c r="Y74" s="144">
        <v>8762747</v>
      </c>
      <c r="Z74" s="144">
        <v>8762747</v>
      </c>
      <c r="AA74" s="144">
        <v>8762747</v>
      </c>
      <c r="AB74" s="144">
        <v>8762747</v>
      </c>
      <c r="AC74" s="144">
        <v>8762747</v>
      </c>
      <c r="AD74" s="144">
        <v>8762747</v>
      </c>
      <c r="AE74" s="144">
        <v>8762747</v>
      </c>
      <c r="AF74" s="144">
        <v>8762747</v>
      </c>
      <c r="AG74" s="144">
        <v>8762747</v>
      </c>
      <c r="AH74" s="142">
        <v>8762747</v>
      </c>
      <c r="AI74" s="142">
        <v>8762747</v>
      </c>
      <c r="AJ74" s="142">
        <v>8762747</v>
      </c>
      <c r="AK74" s="142">
        <v>8762747</v>
      </c>
      <c r="AL74" s="142">
        <v>8762747</v>
      </c>
      <c r="AM74" s="142">
        <v>8762747</v>
      </c>
    </row>
    <row r="75" spans="1:39">
      <c r="A75" s="109" t="s">
        <v>335</v>
      </c>
      <c r="B75" s="144">
        <v>240209</v>
      </c>
      <c r="C75" s="144">
        <v>240209</v>
      </c>
      <c r="D75" s="144">
        <v>240209</v>
      </c>
      <c r="E75" s="144">
        <v>475088</v>
      </c>
      <c r="F75" s="144">
        <v>7485286</v>
      </c>
      <c r="G75" s="144">
        <v>7412882</v>
      </c>
      <c r="H75" s="144">
        <v>7412882</v>
      </c>
      <c r="I75" s="144">
        <v>7412882</v>
      </c>
      <c r="J75" s="144">
        <v>7412882</v>
      </c>
      <c r="K75" s="144">
        <v>7953021</v>
      </c>
      <c r="L75" s="144">
        <v>7953021</v>
      </c>
      <c r="M75" s="144">
        <v>7953021</v>
      </c>
      <c r="N75" s="144">
        <v>7953021</v>
      </c>
      <c r="O75" s="144">
        <v>9037699</v>
      </c>
      <c r="P75" s="144">
        <v>9037699</v>
      </c>
      <c r="Q75" s="144">
        <v>9037699</v>
      </c>
      <c r="R75" s="144">
        <v>9037699</v>
      </c>
      <c r="S75" s="144">
        <v>10393686</v>
      </c>
      <c r="T75" s="144">
        <v>10393686</v>
      </c>
      <c r="U75" s="144">
        <v>10393686</v>
      </c>
      <c r="V75" s="144">
        <v>10393686</v>
      </c>
      <c r="W75" s="144">
        <v>11277247</v>
      </c>
      <c r="X75" s="144">
        <v>11277247</v>
      </c>
      <c r="Y75" s="144">
        <v>11277247</v>
      </c>
      <c r="Z75" s="144">
        <v>11277247</v>
      </c>
      <c r="AA75" s="144">
        <v>7823339</v>
      </c>
      <c r="AB75" s="144">
        <v>7823339</v>
      </c>
      <c r="AC75" s="144">
        <v>7823339</v>
      </c>
      <c r="AD75" s="144">
        <v>7823339</v>
      </c>
      <c r="AE75" s="144">
        <v>7657086</v>
      </c>
      <c r="AF75" s="144">
        <v>7657086</v>
      </c>
      <c r="AG75" s="144">
        <v>7657086</v>
      </c>
      <c r="AH75" s="142">
        <v>7657086</v>
      </c>
      <c r="AI75" s="142">
        <v>8511437</v>
      </c>
      <c r="AJ75" s="142">
        <v>8511437</v>
      </c>
      <c r="AK75" s="142">
        <v>8511437</v>
      </c>
      <c r="AL75" s="142">
        <v>8511437</v>
      </c>
      <c r="AM75" s="142">
        <v>6801584</v>
      </c>
    </row>
    <row r="76" spans="1:39" ht="26.25">
      <c r="A76" s="417" t="s">
        <v>336</v>
      </c>
      <c r="B76" s="111">
        <v>-6238</v>
      </c>
      <c r="C76" s="111">
        <v>-6195</v>
      </c>
      <c r="D76" s="111">
        <v>-9153</v>
      </c>
      <c r="E76" s="171">
        <v>0</v>
      </c>
      <c r="F76" s="171">
        <v>0</v>
      </c>
      <c r="G76" s="171">
        <v>0</v>
      </c>
      <c r="H76" s="171">
        <v>0</v>
      </c>
      <c r="I76" s="171">
        <v>0</v>
      </c>
      <c r="J76" s="111">
        <v>-9586</v>
      </c>
      <c r="K76" s="111">
        <v>-32514</v>
      </c>
      <c r="L76" s="111">
        <v>-72384</v>
      </c>
      <c r="M76" s="111">
        <v>-153703</v>
      </c>
      <c r="N76" s="111">
        <v>-151005</v>
      </c>
      <c r="O76" s="111">
        <v>-123859</v>
      </c>
      <c r="P76" s="111">
        <v>-118166</v>
      </c>
      <c r="Q76" s="111">
        <v>-126651</v>
      </c>
      <c r="R76" s="111">
        <v>-120489</v>
      </c>
      <c r="S76" s="111">
        <v>-144845</v>
      </c>
      <c r="T76" s="111">
        <v>-157817</v>
      </c>
      <c r="U76" s="111">
        <v>-143019</v>
      </c>
      <c r="V76" s="111">
        <v>-130453</v>
      </c>
      <c r="W76" s="111">
        <v>-103630</v>
      </c>
      <c r="X76" s="111">
        <v>-92755</v>
      </c>
      <c r="Y76" s="111">
        <v>-73414</v>
      </c>
      <c r="Z76" s="111">
        <v>-53043</v>
      </c>
      <c r="AA76" s="111">
        <v>-33849</v>
      </c>
      <c r="AB76" s="111">
        <v>-5424</v>
      </c>
      <c r="AC76" s="144">
        <v>29660</v>
      </c>
      <c r="AD76" s="144">
        <v>26244</v>
      </c>
      <c r="AE76" s="144">
        <v>22309</v>
      </c>
      <c r="AF76" s="142">
        <v>22915</v>
      </c>
      <c r="AG76" s="142">
        <v>23051</v>
      </c>
      <c r="AH76" s="142">
        <v>12433</v>
      </c>
      <c r="AI76" s="142">
        <v>12372</v>
      </c>
      <c r="AJ76" s="142">
        <v>10971</v>
      </c>
      <c r="AK76" s="142">
        <v>3371</v>
      </c>
      <c r="AL76" s="142">
        <v>1127</v>
      </c>
      <c r="AM76" s="142">
        <v>647</v>
      </c>
    </row>
    <row r="77" spans="1:39" ht="26.25">
      <c r="A77" s="417" t="s">
        <v>586</v>
      </c>
      <c r="B77" s="178">
        <v>0</v>
      </c>
      <c r="C77" s="178">
        <v>0</v>
      </c>
      <c r="D77" s="171">
        <v>0</v>
      </c>
      <c r="E77" s="171">
        <v>0</v>
      </c>
      <c r="F77" s="171">
        <v>0</v>
      </c>
      <c r="G77" s="171">
        <v>0</v>
      </c>
      <c r="H77" s="171">
        <v>0</v>
      </c>
      <c r="I77" s="171">
        <v>0</v>
      </c>
      <c r="J77" s="171">
        <v>0</v>
      </c>
      <c r="K77" s="111">
        <v>9226</v>
      </c>
      <c r="L77" s="179">
        <v>0</v>
      </c>
      <c r="M77" s="179">
        <v>0</v>
      </c>
      <c r="N77" s="179">
        <v>0</v>
      </c>
      <c r="O77" s="179">
        <v>0</v>
      </c>
      <c r="P77" s="179">
        <v>0</v>
      </c>
      <c r="Q77" s="179">
        <v>0</v>
      </c>
      <c r="R77" s="179">
        <v>0</v>
      </c>
      <c r="S77" s="179">
        <v>0</v>
      </c>
      <c r="T77" s="179">
        <v>0</v>
      </c>
      <c r="U77" s="179">
        <v>0</v>
      </c>
      <c r="V77" s="179">
        <v>0</v>
      </c>
      <c r="W77" s="179">
        <v>0</v>
      </c>
      <c r="X77" s="179">
        <v>0</v>
      </c>
      <c r="Y77" s="179">
        <v>0</v>
      </c>
      <c r="Z77" s="179">
        <v>0</v>
      </c>
      <c r="AA77" s="179">
        <v>0</v>
      </c>
      <c r="AB77" s="179">
        <v>0</v>
      </c>
      <c r="AC77" s="179">
        <v>0</v>
      </c>
      <c r="AD77" s="179">
        <v>0</v>
      </c>
      <c r="AE77" s="179">
        <v>0</v>
      </c>
      <c r="AF77" s="179">
        <v>0</v>
      </c>
      <c r="AG77" s="179">
        <v>0</v>
      </c>
      <c r="AH77" s="179">
        <v>0</v>
      </c>
      <c r="AI77" s="179">
        <v>0</v>
      </c>
      <c r="AJ77" s="179">
        <v>0</v>
      </c>
      <c r="AK77" s="179">
        <v>0</v>
      </c>
      <c r="AL77" s="179">
        <v>0</v>
      </c>
      <c r="AM77" s="179">
        <v>0</v>
      </c>
    </row>
    <row r="78" spans="1:39" ht="26.25">
      <c r="A78" s="417" t="s">
        <v>304</v>
      </c>
      <c r="B78" s="178">
        <v>0</v>
      </c>
      <c r="C78" s="178">
        <v>0</v>
      </c>
      <c r="D78" s="111">
        <v>-213</v>
      </c>
      <c r="E78" s="111">
        <v>-271</v>
      </c>
      <c r="F78" s="111">
        <v>-150</v>
      </c>
      <c r="G78" s="111">
        <v>-120</v>
      </c>
      <c r="H78" s="111">
        <v>498</v>
      </c>
      <c r="I78" s="111">
        <v>87</v>
      </c>
      <c r="J78" s="111">
        <v>-60</v>
      </c>
      <c r="K78" s="111">
        <v>-164</v>
      </c>
      <c r="L78" s="111">
        <v>-350</v>
      </c>
      <c r="M78" s="111">
        <v>-370</v>
      </c>
      <c r="N78" s="111">
        <v>-442</v>
      </c>
      <c r="O78" s="111">
        <v>-11</v>
      </c>
      <c r="P78" s="111">
        <v>-289</v>
      </c>
      <c r="Q78" s="111">
        <v>-1631</v>
      </c>
      <c r="R78" s="111">
        <v>-1553</v>
      </c>
      <c r="S78" s="111">
        <v>-1590</v>
      </c>
      <c r="T78" s="111">
        <v>-1572</v>
      </c>
      <c r="U78" s="111">
        <v>-1386</v>
      </c>
      <c r="V78" s="111">
        <v>-1894</v>
      </c>
      <c r="W78" s="111">
        <v>-1358</v>
      </c>
      <c r="X78" s="111">
        <v>-1099</v>
      </c>
      <c r="Y78" s="111">
        <v>-791</v>
      </c>
      <c r="Z78" s="111">
        <v>-795</v>
      </c>
      <c r="AA78" s="144">
        <v>9131</v>
      </c>
      <c r="AB78" s="144">
        <v>1752</v>
      </c>
      <c r="AC78" s="144">
        <v>9200</v>
      </c>
      <c r="AD78" s="96">
        <v>-4665</v>
      </c>
      <c r="AE78" s="96">
        <v>-3475</v>
      </c>
      <c r="AF78" s="142">
        <v>11345</v>
      </c>
      <c r="AG78" s="142">
        <v>6776</v>
      </c>
      <c r="AH78" s="142">
        <v>11314</v>
      </c>
      <c r="AI78" s="142">
        <v>15647</v>
      </c>
      <c r="AJ78" s="142">
        <v>12431</v>
      </c>
      <c r="AK78" s="142">
        <v>14016</v>
      </c>
      <c r="AL78" s="142">
        <v>12865</v>
      </c>
      <c r="AM78" s="142">
        <v>13801</v>
      </c>
    </row>
    <row r="79" spans="1:39">
      <c r="A79" s="113" t="s">
        <v>587</v>
      </c>
      <c r="B79" s="153">
        <v>-2075344</v>
      </c>
      <c r="C79" s="153">
        <v>-2031013</v>
      </c>
      <c r="D79" s="153">
        <v>-1812843</v>
      </c>
      <c r="E79" s="153">
        <v>-1641605</v>
      </c>
      <c r="F79" s="153">
        <v>-1156121</v>
      </c>
      <c r="G79" s="153">
        <v>-1018094</v>
      </c>
      <c r="H79" s="153">
        <v>-716279</v>
      </c>
      <c r="I79" s="153">
        <f>'Hist. dane roczne - FY figures'!D76</f>
        <v>-481414</v>
      </c>
      <c r="J79" s="153">
        <v>-111128</v>
      </c>
      <c r="K79" s="153">
        <v>-728008</v>
      </c>
      <c r="L79" s="153">
        <v>-306383</v>
      </c>
      <c r="M79" s="153">
        <v>-255014</v>
      </c>
      <c r="N79" s="153">
        <v>236127</v>
      </c>
      <c r="O79" s="153">
        <v>-909855</v>
      </c>
      <c r="P79" s="153">
        <v>-538065</v>
      </c>
      <c r="Q79" s="153">
        <v>-344999</v>
      </c>
      <c r="R79" s="153">
        <v>135928</v>
      </c>
      <c r="S79" s="153">
        <v>-1216944</v>
      </c>
      <c r="T79" s="153">
        <v>-890259</v>
      </c>
      <c r="U79" s="153">
        <v>-1045580</v>
      </c>
      <c r="V79" s="153">
        <v>-541413</v>
      </c>
      <c r="W79" s="153">
        <v>-1472252</v>
      </c>
      <c r="X79" s="153">
        <v>-1108646</v>
      </c>
      <c r="Y79" s="153">
        <v>-3947461</v>
      </c>
      <c r="Z79" s="153">
        <v>-3636418</v>
      </c>
      <c r="AA79" s="153">
        <v>-505261</v>
      </c>
      <c r="AB79" s="153">
        <v>-233429</v>
      </c>
      <c r="AC79" s="153">
        <v>24320</v>
      </c>
      <c r="AD79" s="153">
        <v>665862</v>
      </c>
      <c r="AE79" s="153">
        <v>1199287</v>
      </c>
      <c r="AF79" s="153">
        <v>1390734</v>
      </c>
      <c r="AG79" s="153">
        <v>1586786</v>
      </c>
      <c r="AH79" s="153">
        <v>2301126</v>
      </c>
      <c r="AI79" s="153">
        <v>1383852</v>
      </c>
      <c r="AJ79" s="153">
        <v>1670050</v>
      </c>
      <c r="AK79" s="153">
        <v>1004253</v>
      </c>
      <c r="AL79" s="153">
        <v>1534959</v>
      </c>
      <c r="AM79" s="153">
        <v>3391350</v>
      </c>
    </row>
    <row r="80" spans="1:39">
      <c r="A80" s="107"/>
      <c r="B80" s="96">
        <v>12144911</v>
      </c>
      <c r="C80" s="96">
        <v>12507950</v>
      </c>
      <c r="D80" s="96">
        <v>12722949</v>
      </c>
      <c r="E80" s="144">
        <v>14606157</v>
      </c>
      <c r="F80" s="144">
        <v>15091762</v>
      </c>
      <c r="G80" s="144">
        <v>15157415</v>
      </c>
      <c r="H80" s="144">
        <v>15459848</v>
      </c>
      <c r="I80" s="144">
        <f>'Hist. dane roczne - FY figures'!D77</f>
        <v>15694302</v>
      </c>
      <c r="J80" s="144">
        <v>16054855</v>
      </c>
      <c r="K80" s="144">
        <v>15964308</v>
      </c>
      <c r="L80" s="144">
        <v>16336651</v>
      </c>
      <c r="M80" s="144">
        <v>16306681</v>
      </c>
      <c r="N80" s="144">
        <v>16800448</v>
      </c>
      <c r="O80" s="144">
        <v>16766721</v>
      </c>
      <c r="P80" s="144">
        <v>17143926</v>
      </c>
      <c r="Q80" s="144">
        <v>17327165</v>
      </c>
      <c r="R80" s="144">
        <v>17814332</v>
      </c>
      <c r="S80" s="144">
        <v>17793054</v>
      </c>
      <c r="T80" s="144">
        <v>18106785</v>
      </c>
      <c r="U80" s="144">
        <v>17966448</v>
      </c>
      <c r="V80" s="144">
        <v>18482673</v>
      </c>
      <c r="W80" s="144">
        <v>18462754</v>
      </c>
      <c r="X80" s="144">
        <v>18837494</v>
      </c>
      <c r="Y80" s="144">
        <v>16018328</v>
      </c>
      <c r="Z80" s="144">
        <v>16349738</v>
      </c>
      <c r="AA80" s="144">
        <v>16056107</v>
      </c>
      <c r="AB80" s="144">
        <v>16348985</v>
      </c>
      <c r="AC80" s="144">
        <v>16649266</v>
      </c>
      <c r="AD80" s="144">
        <v>17273527</v>
      </c>
      <c r="AE80" s="144">
        <v>17637954</v>
      </c>
      <c r="AF80" s="144">
        <v>17844827</v>
      </c>
      <c r="AG80" s="144">
        <v>18036446</v>
      </c>
      <c r="AH80" s="144">
        <v>18744706</v>
      </c>
      <c r="AI80" s="144">
        <v>18686055</v>
      </c>
      <c r="AJ80" s="144">
        <v>18967636</v>
      </c>
      <c r="AK80" s="144">
        <v>18295824</v>
      </c>
      <c r="AL80" s="144">
        <v>18823135</v>
      </c>
      <c r="AM80" s="144">
        <v>18970129</v>
      </c>
    </row>
    <row r="81" spans="1:39">
      <c r="A81" s="107"/>
      <c r="B81" s="96"/>
      <c r="C81" s="96"/>
      <c r="D81" s="96"/>
      <c r="E81" s="96"/>
      <c r="F81" s="96"/>
      <c r="G81" s="96"/>
      <c r="H81" s="96"/>
      <c r="I81" s="96"/>
      <c r="J81" s="96"/>
      <c r="K81" s="96"/>
      <c r="L81" s="96"/>
      <c r="M81" s="96"/>
      <c r="N81" s="96"/>
      <c r="O81" s="96"/>
      <c r="P81" s="96"/>
      <c r="Q81" s="96"/>
      <c r="R81" s="96"/>
      <c r="S81" s="96"/>
      <c r="T81" s="144"/>
      <c r="U81" s="144"/>
      <c r="V81" s="144"/>
      <c r="W81" s="144"/>
      <c r="X81" s="144"/>
      <c r="Y81" s="144"/>
      <c r="Z81" s="144"/>
      <c r="AA81" s="144"/>
      <c r="AB81" s="144"/>
      <c r="AC81" s="144"/>
      <c r="AF81" s="142"/>
      <c r="AG81" s="142"/>
      <c r="AH81" s="142"/>
      <c r="AI81" s="142"/>
    </row>
    <row r="82" spans="1:39">
      <c r="A82" s="107" t="s">
        <v>338</v>
      </c>
      <c r="B82" s="96">
        <v>2441911</v>
      </c>
      <c r="C82" s="96">
        <v>2289945</v>
      </c>
      <c r="D82" s="96">
        <v>2321695</v>
      </c>
      <c r="E82" s="144">
        <v>496279</v>
      </c>
      <c r="F82" s="144">
        <v>485227</v>
      </c>
      <c r="G82" s="144">
        <v>479419</v>
      </c>
      <c r="H82" s="144">
        <v>462626</v>
      </c>
      <c r="I82" s="144">
        <f>'Hist. dane roczne - FY figures'!D79</f>
        <v>455203</v>
      </c>
      <c r="J82" s="144">
        <v>474598</v>
      </c>
      <c r="K82" s="144">
        <v>474902</v>
      </c>
      <c r="L82" s="144">
        <v>502763</v>
      </c>
      <c r="M82" s="144">
        <v>493339</v>
      </c>
      <c r="N82" s="144">
        <v>515613</v>
      </c>
      <c r="O82" s="144">
        <v>526444</v>
      </c>
      <c r="P82" s="144">
        <v>531410</v>
      </c>
      <c r="Q82" s="144">
        <v>466334</v>
      </c>
      <c r="R82" s="144">
        <v>54808</v>
      </c>
      <c r="S82" s="144">
        <v>29574</v>
      </c>
      <c r="T82" s="144">
        <v>30306</v>
      </c>
      <c r="U82" s="144">
        <v>30116</v>
      </c>
      <c r="V82" s="144">
        <v>30662</v>
      </c>
      <c r="W82" s="144">
        <v>29040</v>
      </c>
      <c r="X82" s="144">
        <v>29207</v>
      </c>
      <c r="Y82" s="144">
        <v>29829</v>
      </c>
      <c r="Z82" s="144">
        <v>30344</v>
      </c>
      <c r="AA82" s="144">
        <v>28016</v>
      </c>
      <c r="AB82" s="144">
        <v>28534</v>
      </c>
      <c r="AC82" s="144">
        <v>30052</v>
      </c>
      <c r="AD82" s="144">
        <v>30761</v>
      </c>
      <c r="AE82" s="144">
        <v>30804</v>
      </c>
      <c r="AF82" s="144">
        <v>31315</v>
      </c>
      <c r="AG82" s="144">
        <v>31367</v>
      </c>
      <c r="AH82" s="142">
        <v>32282</v>
      </c>
      <c r="AI82" s="142">
        <v>33180</v>
      </c>
      <c r="AJ82" s="142">
        <v>32649</v>
      </c>
      <c r="AK82" s="142">
        <v>132657</v>
      </c>
      <c r="AL82" s="142">
        <v>385947</v>
      </c>
      <c r="AM82" s="142">
        <v>386282</v>
      </c>
    </row>
    <row r="83" spans="1:39">
      <c r="A83" s="107"/>
      <c r="B83" s="96"/>
      <c r="C83" s="96"/>
      <c r="D83" s="96"/>
      <c r="E83" s="96"/>
      <c r="F83" s="96"/>
      <c r="G83" s="96"/>
      <c r="H83" s="96"/>
      <c r="I83" s="96"/>
      <c r="J83" s="96"/>
      <c r="K83" s="96"/>
      <c r="L83" s="96"/>
      <c r="M83" s="96"/>
      <c r="N83" s="96"/>
      <c r="O83" s="96"/>
      <c r="P83" s="96"/>
      <c r="Q83" s="96"/>
      <c r="R83" s="96"/>
      <c r="S83" s="96"/>
      <c r="T83" s="144"/>
      <c r="U83" s="144"/>
      <c r="V83" s="144"/>
      <c r="W83" s="144"/>
      <c r="X83" s="144"/>
      <c r="Y83" s="144"/>
      <c r="Z83" s="144"/>
      <c r="AA83" s="144"/>
      <c r="AB83" s="144"/>
      <c r="AC83" s="144"/>
      <c r="AF83" s="142"/>
      <c r="AG83" s="142"/>
      <c r="AH83" s="142"/>
      <c r="AI83" s="142"/>
    </row>
    <row r="84" spans="1:39">
      <c r="A84" s="118" t="s">
        <v>339</v>
      </c>
      <c r="B84" s="176">
        <v>14586822</v>
      </c>
      <c r="C84" s="176">
        <v>14797895</v>
      </c>
      <c r="D84" s="176">
        <v>15044644</v>
      </c>
      <c r="E84" s="176">
        <v>15102436</v>
      </c>
      <c r="F84" s="176">
        <v>15576989</v>
      </c>
      <c r="G84" s="176">
        <v>15636834</v>
      </c>
      <c r="H84" s="176">
        <v>15922474</v>
      </c>
      <c r="I84" s="176">
        <f>'Hist. dane roczne - FY figures'!D81</f>
        <v>16149505</v>
      </c>
      <c r="J84" s="176">
        <v>16529453</v>
      </c>
      <c r="K84" s="176">
        <v>16439210</v>
      </c>
      <c r="L84" s="176">
        <v>16839414</v>
      </c>
      <c r="M84" s="176">
        <v>16800020</v>
      </c>
      <c r="N84" s="176">
        <v>17316061</v>
      </c>
      <c r="O84" s="176">
        <v>17293165</v>
      </c>
      <c r="P84" s="176">
        <v>17675336</v>
      </c>
      <c r="Q84" s="176">
        <v>17793499</v>
      </c>
      <c r="R84" s="176">
        <v>17869140</v>
      </c>
      <c r="S84" s="176">
        <v>17822628</v>
      </c>
      <c r="T84" s="176">
        <v>18137091</v>
      </c>
      <c r="U84" s="176">
        <v>17996564</v>
      </c>
      <c r="V84" s="176">
        <v>18513335</v>
      </c>
      <c r="W84" s="176">
        <v>18491794</v>
      </c>
      <c r="X84" s="176">
        <v>18866701</v>
      </c>
      <c r="Y84" s="176">
        <v>16048157</v>
      </c>
      <c r="Z84" s="176">
        <v>16380082</v>
      </c>
      <c r="AA84" s="176">
        <v>16084123</v>
      </c>
      <c r="AB84" s="176">
        <v>16377519</v>
      </c>
      <c r="AC84" s="176">
        <v>16679318</v>
      </c>
      <c r="AD84" s="176">
        <v>17304288</v>
      </c>
      <c r="AE84" s="176">
        <v>17668758</v>
      </c>
      <c r="AF84" s="176">
        <v>17876142</v>
      </c>
      <c r="AG84" s="176">
        <v>18067813</v>
      </c>
      <c r="AH84" s="176">
        <v>18776988</v>
      </c>
      <c r="AI84" s="176">
        <v>18719235</v>
      </c>
      <c r="AJ84" s="176">
        <v>19000285</v>
      </c>
      <c r="AK84" s="176">
        <v>18428481</v>
      </c>
      <c r="AL84" s="176">
        <v>19209082</v>
      </c>
      <c r="AM84" s="176">
        <v>19356411</v>
      </c>
    </row>
    <row r="85" spans="1:39">
      <c r="A85" s="107"/>
      <c r="B85" s="96"/>
      <c r="C85" s="96"/>
      <c r="D85" s="96"/>
      <c r="E85" s="96"/>
      <c r="F85" s="96"/>
      <c r="G85" s="96"/>
      <c r="H85" s="96"/>
      <c r="I85" s="96"/>
      <c r="J85" s="96"/>
      <c r="K85" s="96"/>
      <c r="L85" s="96"/>
      <c r="M85" s="96"/>
      <c r="N85" s="96"/>
      <c r="O85" s="96"/>
      <c r="P85" s="96"/>
      <c r="Q85" s="176"/>
      <c r="R85" s="176"/>
      <c r="S85" s="176"/>
      <c r="T85" s="176"/>
      <c r="U85" s="177"/>
      <c r="V85" s="177"/>
      <c r="W85" s="177"/>
      <c r="X85" s="177"/>
      <c r="Y85" s="177"/>
      <c r="Z85" s="177"/>
      <c r="AA85" s="177"/>
      <c r="AB85" s="177"/>
      <c r="AC85" s="177"/>
      <c r="AD85" s="177"/>
      <c r="AE85" s="177"/>
      <c r="AF85" s="177"/>
      <c r="AG85" s="177"/>
      <c r="AH85" s="177"/>
      <c r="AI85" s="177"/>
      <c r="AJ85" s="177"/>
      <c r="AK85" s="177"/>
      <c r="AL85" s="177"/>
      <c r="AM85" s="177"/>
    </row>
    <row r="86" spans="1:39">
      <c r="A86" s="156" t="s">
        <v>340</v>
      </c>
      <c r="B86" s="108"/>
      <c r="C86" s="108"/>
      <c r="D86" s="108"/>
      <c r="E86" s="108"/>
      <c r="F86" s="108"/>
      <c r="G86" s="108"/>
      <c r="H86" s="108"/>
      <c r="I86" s="108"/>
      <c r="J86" s="108"/>
      <c r="K86" s="108"/>
      <c r="L86" s="108"/>
      <c r="M86" s="108"/>
      <c r="N86" s="108"/>
      <c r="O86" s="108"/>
      <c r="P86" s="108"/>
      <c r="S86" s="145"/>
      <c r="T86" s="142"/>
      <c r="AF86" s="142"/>
      <c r="AH86" s="142"/>
    </row>
    <row r="87" spans="1:39">
      <c r="A87" s="109" t="s">
        <v>588</v>
      </c>
      <c r="B87" s="144">
        <v>1146545</v>
      </c>
      <c r="C87" s="144">
        <v>989098</v>
      </c>
      <c r="D87" s="144">
        <v>917202</v>
      </c>
      <c r="E87" s="144">
        <v>1076178</v>
      </c>
      <c r="F87" s="144">
        <v>1104014</v>
      </c>
      <c r="G87" s="144">
        <v>1045564</v>
      </c>
      <c r="H87" s="144">
        <v>1036475</v>
      </c>
      <c r="I87" s="144">
        <v>4251944</v>
      </c>
      <c r="J87" s="144">
        <v>4867857</v>
      </c>
      <c r="K87" s="144">
        <v>4883367</v>
      </c>
      <c r="L87" s="144">
        <v>5324024</v>
      </c>
      <c r="M87" s="144">
        <v>5222882</v>
      </c>
      <c r="N87" s="144">
        <v>5643271</v>
      </c>
      <c r="O87" s="144">
        <v>5606826</v>
      </c>
      <c r="P87" s="144">
        <v>5577394</v>
      </c>
      <c r="Q87" s="144">
        <v>5500532</v>
      </c>
      <c r="R87" s="144">
        <v>5827367</v>
      </c>
      <c r="S87" s="144">
        <v>6005603</v>
      </c>
      <c r="T87" s="144">
        <v>6183835</v>
      </c>
      <c r="U87" s="144">
        <v>7422332</v>
      </c>
      <c r="V87" s="144">
        <v>7371792</v>
      </c>
      <c r="W87" s="144">
        <v>7367670</v>
      </c>
      <c r="X87" s="144">
        <v>7648162</v>
      </c>
      <c r="Y87" s="144">
        <v>4890404</v>
      </c>
      <c r="Z87" s="676">
        <f>7722218+29300</f>
        <v>7751518</v>
      </c>
      <c r="AA87" s="676">
        <f>7727666+26661</f>
        <v>7754327</v>
      </c>
      <c r="AB87" s="676">
        <f>7373149+24449</f>
        <v>7397598</v>
      </c>
      <c r="AC87" s="676">
        <v>8759789</v>
      </c>
      <c r="AD87" s="676">
        <v>8850672</v>
      </c>
      <c r="AE87" s="676">
        <v>8809471</v>
      </c>
      <c r="AF87" s="676">
        <v>10641045</v>
      </c>
      <c r="AG87" s="676">
        <v>9501414</v>
      </c>
      <c r="AH87" s="676">
        <v>9467201</v>
      </c>
      <c r="AI87" s="676">
        <v>9579171</v>
      </c>
      <c r="AJ87" s="676">
        <v>9459494</v>
      </c>
      <c r="AK87" s="676">
        <v>8488210</v>
      </c>
      <c r="AL87" s="676">
        <v>10169436</v>
      </c>
      <c r="AM87" s="676">
        <v>10275871</v>
      </c>
    </row>
    <row r="88" spans="1:39">
      <c r="A88" s="109" t="s">
        <v>589</v>
      </c>
      <c r="B88" s="144">
        <v>78608</v>
      </c>
      <c r="C88" s="144">
        <v>75115</v>
      </c>
      <c r="D88" s="144">
        <v>71115</v>
      </c>
      <c r="E88" s="144">
        <v>67810</v>
      </c>
      <c r="F88" s="144">
        <v>64167</v>
      </c>
      <c r="G88" s="144">
        <v>61246</v>
      </c>
      <c r="H88" s="144">
        <v>59665</v>
      </c>
      <c r="I88" s="144">
        <v>56232</v>
      </c>
      <c r="J88" s="144">
        <v>51418</v>
      </c>
      <c r="K88" s="144">
        <v>48780</v>
      </c>
      <c r="L88" s="144">
        <v>46004</v>
      </c>
      <c r="M88" s="144">
        <v>41796</v>
      </c>
      <c r="N88" s="144">
        <v>37023</v>
      </c>
      <c r="O88" s="144">
        <v>34874</v>
      </c>
      <c r="P88" s="144">
        <v>33444</v>
      </c>
      <c r="Q88" s="144">
        <v>61643</v>
      </c>
      <c r="R88" s="144">
        <v>56025</v>
      </c>
      <c r="S88" s="144">
        <v>52858</v>
      </c>
      <c r="T88" s="144">
        <v>50388</v>
      </c>
      <c r="U88" s="144">
        <v>46443</v>
      </c>
      <c r="V88" s="144">
        <v>41961</v>
      </c>
      <c r="W88" s="144">
        <v>39652</v>
      </c>
      <c r="X88" s="144">
        <v>37430</v>
      </c>
      <c r="Y88" s="144">
        <v>33723</v>
      </c>
      <c r="Z88" s="677"/>
      <c r="AA88" s="677"/>
      <c r="AB88" s="677"/>
      <c r="AC88" s="677"/>
      <c r="AD88" s="677"/>
      <c r="AE88" s="677">
        <v>0</v>
      </c>
      <c r="AF88" s="677"/>
      <c r="AG88" s="677"/>
      <c r="AH88" s="677"/>
      <c r="AI88" s="677"/>
      <c r="AJ88" s="677"/>
      <c r="AK88" s="677"/>
      <c r="AL88" s="677"/>
      <c r="AM88" s="677"/>
    </row>
    <row r="89" spans="1:39" ht="26.25">
      <c r="A89" s="417" t="s">
        <v>590</v>
      </c>
      <c r="B89" s="144">
        <v>8579</v>
      </c>
      <c r="C89" s="144">
        <v>8041</v>
      </c>
      <c r="D89" s="144">
        <v>10689</v>
      </c>
      <c r="E89" s="144">
        <v>6910</v>
      </c>
      <c r="F89" s="144">
        <v>8709</v>
      </c>
      <c r="G89" s="144">
        <v>6213</v>
      </c>
      <c r="H89" s="144">
        <v>7111</v>
      </c>
      <c r="I89" s="144">
        <v>7968</v>
      </c>
      <c r="J89" s="144">
        <v>6533</v>
      </c>
      <c r="K89" s="144">
        <v>7197</v>
      </c>
      <c r="L89" s="144">
        <v>6390</v>
      </c>
      <c r="M89" s="144">
        <v>7890</v>
      </c>
      <c r="N89" s="144">
        <v>8089</v>
      </c>
      <c r="O89" s="144">
        <v>9180</v>
      </c>
      <c r="P89" s="144">
        <v>8241</v>
      </c>
      <c r="Q89" s="144">
        <v>7827</v>
      </c>
      <c r="R89" s="144">
        <v>7299</v>
      </c>
      <c r="S89" s="144">
        <v>46841</v>
      </c>
      <c r="T89" s="144">
        <v>52338</v>
      </c>
      <c r="U89" s="144">
        <v>48986</v>
      </c>
      <c r="V89" s="144">
        <v>53148</v>
      </c>
      <c r="W89" s="144">
        <v>64058</v>
      </c>
      <c r="X89" s="144">
        <v>82828</v>
      </c>
      <c r="Y89" s="144">
        <v>86549</v>
      </c>
      <c r="Z89" s="144">
        <v>48290</v>
      </c>
      <c r="AA89" s="144">
        <v>47775</v>
      </c>
      <c r="AB89" s="144">
        <v>49341</v>
      </c>
      <c r="AC89" s="144">
        <v>72374</v>
      </c>
      <c r="AD89" s="144">
        <v>68476</v>
      </c>
      <c r="AE89" s="144">
        <v>76888</v>
      </c>
      <c r="AF89" s="142">
        <f>75515-AF90</f>
        <v>75470</v>
      </c>
      <c r="AG89" s="142">
        <v>86662</v>
      </c>
      <c r="AH89" s="142">
        <v>81321</v>
      </c>
      <c r="AI89" s="142">
        <v>83412</v>
      </c>
      <c r="AJ89" s="142">
        <v>85804</v>
      </c>
      <c r="AK89" s="142">
        <v>69840</v>
      </c>
      <c r="AL89" s="142">
        <v>67366</v>
      </c>
      <c r="AM89" s="142">
        <v>29998</v>
      </c>
    </row>
    <row r="90" spans="1:39">
      <c r="A90" s="109" t="s">
        <v>591</v>
      </c>
      <c r="B90" s="450" t="s">
        <v>69</v>
      </c>
      <c r="C90" s="450" t="s">
        <v>69</v>
      </c>
      <c r="D90" s="450" t="s">
        <v>69</v>
      </c>
      <c r="E90" s="178">
        <v>0</v>
      </c>
      <c r="F90" s="450" t="s">
        <v>69</v>
      </c>
      <c r="G90" s="450" t="s">
        <v>69</v>
      </c>
      <c r="H90" s="450" t="s">
        <v>69</v>
      </c>
      <c r="I90" s="178">
        <v>0</v>
      </c>
      <c r="J90" s="450" t="s">
        <v>69</v>
      </c>
      <c r="K90" s="450" t="s">
        <v>69</v>
      </c>
      <c r="L90" s="450" t="s">
        <v>69</v>
      </c>
      <c r="M90" s="144">
        <v>150594</v>
      </c>
      <c r="N90" s="144">
        <v>154956</v>
      </c>
      <c r="O90" s="144">
        <v>83862</v>
      </c>
      <c r="P90" s="144">
        <v>93540</v>
      </c>
      <c r="Q90" s="144">
        <v>87573</v>
      </c>
      <c r="R90" s="144">
        <v>96139</v>
      </c>
      <c r="S90" s="144">
        <v>103198</v>
      </c>
      <c r="T90" s="144">
        <v>132773</v>
      </c>
      <c r="U90" s="144">
        <v>93501</v>
      </c>
      <c r="V90" s="144">
        <v>95096</v>
      </c>
      <c r="W90" s="144">
        <v>93800</v>
      </c>
      <c r="X90" s="144">
        <v>54838</v>
      </c>
      <c r="Y90" s="144">
        <v>15156</v>
      </c>
      <c r="Z90" s="144">
        <v>6</v>
      </c>
      <c r="AA90" s="144">
        <v>12</v>
      </c>
      <c r="AB90" s="144">
        <v>47</v>
      </c>
      <c r="AC90" s="179">
        <v>0</v>
      </c>
      <c r="AD90" s="88">
        <v>36</v>
      </c>
      <c r="AE90" s="88">
        <v>21</v>
      </c>
      <c r="AF90" s="142">
        <v>45</v>
      </c>
      <c r="AG90" s="142">
        <v>5217</v>
      </c>
      <c r="AH90" s="142">
        <v>5898</v>
      </c>
      <c r="AI90" s="142">
        <v>7213</v>
      </c>
      <c r="AJ90" s="142">
        <v>37524</v>
      </c>
      <c r="AK90" s="142">
        <v>37930</v>
      </c>
      <c r="AL90" s="142">
        <v>10922</v>
      </c>
      <c r="AM90" s="142">
        <v>27297</v>
      </c>
    </row>
    <row r="91" spans="1:39">
      <c r="A91" s="109" t="s">
        <v>342</v>
      </c>
      <c r="B91" s="686" t="s">
        <v>70</v>
      </c>
      <c r="C91" s="686" t="s">
        <v>71</v>
      </c>
      <c r="D91" s="686" t="s">
        <v>72</v>
      </c>
      <c r="E91" s="144">
        <v>1158941</v>
      </c>
      <c r="F91" s="686" t="s">
        <v>73</v>
      </c>
      <c r="G91" s="686" t="s">
        <v>74</v>
      </c>
      <c r="H91" s="686" t="s">
        <v>75</v>
      </c>
      <c r="I91" s="111">
        <v>1203375</v>
      </c>
      <c r="J91" s="686" t="s">
        <v>76</v>
      </c>
      <c r="K91" s="686" t="s">
        <v>77</v>
      </c>
      <c r="L91" s="686" t="s">
        <v>78</v>
      </c>
      <c r="M91" s="144">
        <v>1568219</v>
      </c>
      <c r="N91" s="144">
        <v>1555705</v>
      </c>
      <c r="O91" s="144">
        <v>1543852</v>
      </c>
      <c r="P91" s="144">
        <v>1545749</v>
      </c>
      <c r="Q91" s="144">
        <v>1497814</v>
      </c>
      <c r="R91" s="144">
        <v>1491859</v>
      </c>
      <c r="S91" s="144">
        <v>1494542</v>
      </c>
      <c r="T91" s="144">
        <v>1497375</v>
      </c>
      <c r="U91" s="144">
        <v>1948323</v>
      </c>
      <c r="V91" s="144">
        <v>1952636</v>
      </c>
      <c r="W91" s="144">
        <v>1940365</v>
      </c>
      <c r="X91" s="144">
        <v>1837619</v>
      </c>
      <c r="Y91" s="144">
        <v>1735206</v>
      </c>
      <c r="Z91" s="144">
        <v>1771941</v>
      </c>
      <c r="AA91" s="144">
        <v>1767471</v>
      </c>
      <c r="AB91" s="144">
        <v>1779311</v>
      </c>
      <c r="AC91" s="144">
        <v>1373385</v>
      </c>
      <c r="AD91" s="144">
        <v>1377726</v>
      </c>
      <c r="AE91" s="144">
        <v>1371183</v>
      </c>
      <c r="AF91" s="142">
        <v>1371769</v>
      </c>
      <c r="AG91" s="142">
        <v>1380650</v>
      </c>
      <c r="AH91" s="142">
        <v>1089713</v>
      </c>
      <c r="AI91" s="142">
        <v>1080793</v>
      </c>
      <c r="AJ91" s="142">
        <v>1085611</v>
      </c>
      <c r="AK91" s="142">
        <v>1114191</v>
      </c>
      <c r="AL91" s="142">
        <v>1117086</v>
      </c>
      <c r="AM91" s="142">
        <v>1098442</v>
      </c>
    </row>
    <row r="92" spans="1:39">
      <c r="A92" s="109" t="s">
        <v>350</v>
      </c>
      <c r="B92" s="687"/>
      <c r="C92" s="687">
        <v>33607</v>
      </c>
      <c r="D92" s="687"/>
      <c r="E92" s="144">
        <v>30861</v>
      </c>
      <c r="F92" s="687">
        <v>1079754</v>
      </c>
      <c r="G92" s="687"/>
      <c r="H92" s="687">
        <v>1105630</v>
      </c>
      <c r="I92" s="111">
        <v>61200</v>
      </c>
      <c r="J92" s="687">
        <v>1215105</v>
      </c>
      <c r="K92" s="687"/>
      <c r="L92" s="687">
        <v>1199581</v>
      </c>
      <c r="M92" s="144">
        <v>82523</v>
      </c>
      <c r="N92" s="144">
        <v>83534</v>
      </c>
      <c r="O92" s="144">
        <v>84558</v>
      </c>
      <c r="P92" s="144">
        <v>85612</v>
      </c>
      <c r="Q92" s="144">
        <v>141408</v>
      </c>
      <c r="R92" s="144">
        <v>142931</v>
      </c>
      <c r="S92" s="144">
        <v>140542</v>
      </c>
      <c r="T92" s="144">
        <v>142200</v>
      </c>
      <c r="U92" s="144">
        <v>165278</v>
      </c>
      <c r="V92" s="144">
        <v>166363</v>
      </c>
      <c r="W92" s="144">
        <v>166795</v>
      </c>
      <c r="X92" s="144">
        <v>167772</v>
      </c>
      <c r="Y92" s="144">
        <v>377372</v>
      </c>
      <c r="Z92" s="144">
        <v>440582</v>
      </c>
      <c r="AA92" s="144">
        <v>442561</v>
      </c>
      <c r="AB92" s="144">
        <v>442299</v>
      </c>
      <c r="AC92" s="144">
        <v>449310</v>
      </c>
      <c r="AD92" s="144">
        <v>303029</v>
      </c>
      <c r="AE92" s="144">
        <v>296703</v>
      </c>
      <c r="AF92" s="142">
        <v>298613</v>
      </c>
      <c r="AG92" s="142">
        <v>351138</v>
      </c>
      <c r="AH92" s="142">
        <v>353398</v>
      </c>
      <c r="AI92" s="142">
        <v>355721</v>
      </c>
      <c r="AJ92" s="142">
        <v>370092</v>
      </c>
      <c r="AK92" s="142">
        <v>396513</v>
      </c>
      <c r="AL92" s="142">
        <v>395540</v>
      </c>
      <c r="AM92" s="142">
        <v>395241</v>
      </c>
    </row>
    <row r="93" spans="1:39">
      <c r="A93" s="109" t="s">
        <v>344</v>
      </c>
      <c r="B93" s="111">
        <v>618675</v>
      </c>
      <c r="C93" s="111">
        <v>610845</v>
      </c>
      <c r="D93" s="111">
        <v>606469</v>
      </c>
      <c r="E93" s="144">
        <v>644522</v>
      </c>
      <c r="F93" s="144">
        <v>642121</v>
      </c>
      <c r="G93" s="144">
        <v>637279</v>
      </c>
      <c r="H93" s="144">
        <v>628452</v>
      </c>
      <c r="I93" s="144">
        <f>'Hist. dane roczne - FY figures'!D90</f>
        <v>569562</v>
      </c>
      <c r="J93" s="144">
        <v>636800</v>
      </c>
      <c r="K93" s="144">
        <v>630731</v>
      </c>
      <c r="L93" s="144">
        <v>633024</v>
      </c>
      <c r="M93" s="144">
        <v>639643</v>
      </c>
      <c r="N93" s="144">
        <v>715776</v>
      </c>
      <c r="O93" s="144">
        <v>729055</v>
      </c>
      <c r="P93" s="144">
        <v>750612</v>
      </c>
      <c r="Q93" s="144">
        <v>668487</v>
      </c>
      <c r="R93" s="144">
        <v>677044</v>
      </c>
      <c r="S93" s="144">
        <v>680537</v>
      </c>
      <c r="T93" s="144">
        <v>670383</v>
      </c>
      <c r="U93" s="144">
        <v>662072</v>
      </c>
      <c r="V93" s="144">
        <v>648602</v>
      </c>
      <c r="W93" s="144">
        <v>643584</v>
      </c>
      <c r="X93" s="144">
        <v>634492</v>
      </c>
      <c r="Y93" s="144">
        <v>650364</v>
      </c>
      <c r="Z93" s="144">
        <v>640413</v>
      </c>
      <c r="AA93" s="144">
        <v>642503</v>
      </c>
      <c r="AB93" s="144">
        <v>628699</v>
      </c>
      <c r="AC93" s="144">
        <v>554293</v>
      </c>
      <c r="AD93" s="144">
        <v>544219</v>
      </c>
      <c r="AE93" s="144">
        <v>531524</v>
      </c>
      <c r="AF93" s="142">
        <v>524100</v>
      </c>
      <c r="AG93" s="142">
        <v>541318</v>
      </c>
      <c r="AH93" s="142">
        <v>363869</v>
      </c>
      <c r="AI93" s="142">
        <v>360717</v>
      </c>
      <c r="AJ93" s="142">
        <v>359883</v>
      </c>
      <c r="AK93" s="142">
        <v>440309</v>
      </c>
      <c r="AL93" s="142">
        <v>441085</v>
      </c>
      <c r="AM93" s="142">
        <v>442775</v>
      </c>
    </row>
    <row r="94" spans="1:39">
      <c r="A94" s="109" t="s">
        <v>592</v>
      </c>
      <c r="B94" s="111">
        <v>1175970</v>
      </c>
      <c r="C94" s="111">
        <v>1183700</v>
      </c>
      <c r="D94" s="111">
        <v>1203448</v>
      </c>
      <c r="E94" s="111">
        <v>1191155</v>
      </c>
      <c r="F94" s="111">
        <v>1253651</v>
      </c>
      <c r="G94" s="111">
        <v>1280221</v>
      </c>
      <c r="H94" s="111">
        <v>1308401</v>
      </c>
      <c r="I94" s="111">
        <f>'Hist. dane roczne - FY figures'!D91</f>
        <v>1388424</v>
      </c>
      <c r="J94" s="111">
        <v>1309864</v>
      </c>
      <c r="K94" s="111">
        <v>1425554</v>
      </c>
      <c r="L94" s="111">
        <v>1395654</v>
      </c>
      <c r="M94" s="111">
        <v>1367687</v>
      </c>
      <c r="N94" s="111">
        <v>1470076</v>
      </c>
      <c r="O94" s="111">
        <v>1380064</v>
      </c>
      <c r="P94" s="111">
        <v>1348450</v>
      </c>
      <c r="Q94" s="111">
        <v>1339057</v>
      </c>
      <c r="R94" s="111">
        <v>1483655</v>
      </c>
      <c r="S94" s="111">
        <v>1451536</v>
      </c>
      <c r="T94" s="111">
        <v>1411304</v>
      </c>
      <c r="U94" s="111">
        <v>1357157</v>
      </c>
      <c r="V94" s="111">
        <v>1326607</v>
      </c>
      <c r="W94" s="111">
        <v>1461528</v>
      </c>
      <c r="X94" s="111">
        <v>1472722</v>
      </c>
      <c r="Y94" s="111">
        <v>795176</v>
      </c>
      <c r="Z94" s="111">
        <v>863524</v>
      </c>
      <c r="AA94" s="111">
        <v>732661</v>
      </c>
      <c r="AB94" s="111">
        <v>692020</v>
      </c>
      <c r="AC94" s="111">
        <v>759568</v>
      </c>
      <c r="AD94" s="111">
        <v>893702</v>
      </c>
      <c r="AE94" s="111">
        <v>844105</v>
      </c>
      <c r="AF94" s="111">
        <v>780290</v>
      </c>
      <c r="AG94" s="111">
        <v>871865</v>
      </c>
      <c r="AH94" s="111">
        <v>857670</v>
      </c>
      <c r="AI94" s="111">
        <v>858237</v>
      </c>
      <c r="AJ94" s="111">
        <v>776426</v>
      </c>
      <c r="AK94" s="111">
        <v>823754</v>
      </c>
      <c r="AL94" s="111">
        <v>761750</v>
      </c>
      <c r="AM94" s="111">
        <v>764951</v>
      </c>
    </row>
    <row r="95" spans="1:39">
      <c r="A95" s="113" t="s">
        <v>351</v>
      </c>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v>1588</v>
      </c>
      <c r="AH95" s="153"/>
      <c r="AI95" s="153"/>
      <c r="AJ95" s="153"/>
      <c r="AK95" s="153">
        <v>11507</v>
      </c>
      <c r="AL95" s="153">
        <v>8977</v>
      </c>
      <c r="AM95" s="153">
        <v>8776</v>
      </c>
    </row>
    <row r="96" spans="1:39">
      <c r="A96" s="109"/>
      <c r="B96" s="111">
        <v>4019196</v>
      </c>
      <c r="C96" s="111">
        <v>3860387</v>
      </c>
      <c r="D96" s="111">
        <v>3817562</v>
      </c>
      <c r="E96" s="111">
        <v>4176377</v>
      </c>
      <c r="F96" s="111">
        <v>4152416</v>
      </c>
      <c r="G96" s="111">
        <v>4115836</v>
      </c>
      <c r="H96" s="111">
        <v>4145734</v>
      </c>
      <c r="I96" s="111">
        <f>'Hist. dane roczne - FY figures'!D93</f>
        <v>7538705</v>
      </c>
      <c r="J96" s="111">
        <v>8087577</v>
      </c>
      <c r="K96" s="111">
        <v>8189894</v>
      </c>
      <c r="L96" s="111">
        <v>8604677</v>
      </c>
      <c r="M96" s="111">
        <v>9081234</v>
      </c>
      <c r="N96" s="111">
        <v>9668430</v>
      </c>
      <c r="O96" s="111">
        <v>9472271</v>
      </c>
      <c r="P96" s="111">
        <v>9443042</v>
      </c>
      <c r="Q96" s="111">
        <v>9304341</v>
      </c>
      <c r="R96" s="111">
        <v>9782319</v>
      </c>
      <c r="S96" s="111">
        <v>9975657</v>
      </c>
      <c r="T96" s="111">
        <v>10140596</v>
      </c>
      <c r="U96" s="111">
        <v>11744092</v>
      </c>
      <c r="V96" s="111">
        <v>11656205</v>
      </c>
      <c r="W96" s="111">
        <v>11777452</v>
      </c>
      <c r="X96" s="111">
        <v>11935863</v>
      </c>
      <c r="Y96" s="111">
        <f>SUM(Y87:Y94)</f>
        <v>8583950</v>
      </c>
      <c r="Z96" s="111">
        <v>11516274</v>
      </c>
      <c r="AA96" s="111">
        <v>11387310</v>
      </c>
      <c r="AB96" s="111">
        <v>10989315</v>
      </c>
      <c r="AC96" s="111">
        <v>11968719</v>
      </c>
      <c r="AD96" s="111">
        <v>12037860</v>
      </c>
      <c r="AE96" s="111">
        <v>11929895</v>
      </c>
      <c r="AF96" s="111">
        <v>13691332</v>
      </c>
      <c r="AG96" s="111">
        <f>12738264+1588</f>
        <v>12739852</v>
      </c>
      <c r="AH96" s="111">
        <v>12219070</v>
      </c>
      <c r="AI96" s="111">
        <v>12325264</v>
      </c>
      <c r="AJ96" s="111">
        <v>12174834</v>
      </c>
      <c r="AK96" s="111">
        <v>11382254</v>
      </c>
      <c r="AL96" s="111">
        <v>12972162</v>
      </c>
      <c r="AM96" s="111">
        <v>13043351</v>
      </c>
    </row>
    <row r="97" spans="1:39">
      <c r="A97" s="109" t="s">
        <v>348</v>
      </c>
      <c r="B97" s="111"/>
      <c r="C97" s="111"/>
      <c r="D97" s="111"/>
      <c r="E97" s="111"/>
      <c r="F97" s="111"/>
      <c r="G97" s="111"/>
      <c r="H97" s="111"/>
      <c r="I97" s="111"/>
      <c r="J97" s="111"/>
      <c r="K97" s="111"/>
      <c r="L97" s="111"/>
      <c r="M97" s="111"/>
      <c r="N97" s="111"/>
      <c r="O97" s="111"/>
      <c r="P97" s="111"/>
      <c r="Q97" s="111"/>
      <c r="T97" s="144"/>
      <c r="AF97" s="142"/>
      <c r="AH97" s="142"/>
    </row>
    <row r="98" spans="1:39" ht="26.25">
      <c r="A98" s="417" t="s">
        <v>593</v>
      </c>
      <c r="B98" s="111">
        <v>583460</v>
      </c>
      <c r="C98" s="111">
        <v>534404</v>
      </c>
      <c r="D98" s="111">
        <v>502486</v>
      </c>
      <c r="E98" s="111">
        <v>325027</v>
      </c>
      <c r="F98" s="111">
        <v>215307</v>
      </c>
      <c r="G98" s="111">
        <v>195849</v>
      </c>
      <c r="H98" s="111">
        <v>207480</v>
      </c>
      <c r="I98" s="111">
        <v>214169</v>
      </c>
      <c r="J98" s="111">
        <v>330178</v>
      </c>
      <c r="K98" s="111">
        <v>197340</v>
      </c>
      <c r="L98" s="111">
        <v>254165</v>
      </c>
      <c r="M98" s="111">
        <v>286990</v>
      </c>
      <c r="N98" s="111">
        <v>426987</v>
      </c>
      <c r="O98" s="111">
        <v>286568</v>
      </c>
      <c r="P98" s="111">
        <v>272154</v>
      </c>
      <c r="Q98" s="111">
        <v>284633</v>
      </c>
      <c r="R98" s="111">
        <v>613883</v>
      </c>
      <c r="S98" s="111">
        <v>338249</v>
      </c>
      <c r="T98" s="111">
        <v>380334</v>
      </c>
      <c r="U98" s="111">
        <v>631530</v>
      </c>
      <c r="V98" s="144">
        <v>636493</v>
      </c>
      <c r="W98" s="144">
        <v>513116</v>
      </c>
      <c r="X98" s="144">
        <v>564548</v>
      </c>
      <c r="Y98" s="144">
        <v>3201805</v>
      </c>
      <c r="Z98" s="676">
        <f>1089967+15527</f>
        <v>1105494</v>
      </c>
      <c r="AA98" s="676">
        <f>1055557+15163</f>
        <v>1070720</v>
      </c>
      <c r="AB98" s="676">
        <f>1118289+14726</f>
        <v>1133015</v>
      </c>
      <c r="AC98" s="676">
        <v>219740</v>
      </c>
      <c r="AD98" s="676">
        <v>648162</v>
      </c>
      <c r="AE98" s="676">
        <v>428241</v>
      </c>
      <c r="AF98" s="676">
        <v>330216</v>
      </c>
      <c r="AG98" s="676">
        <v>351382</v>
      </c>
      <c r="AH98" s="676">
        <v>319055</v>
      </c>
      <c r="AI98" s="676">
        <v>287669</v>
      </c>
      <c r="AJ98" s="676">
        <v>293355</v>
      </c>
      <c r="AK98" s="676">
        <v>2475167</v>
      </c>
      <c r="AL98" s="676">
        <v>2458675</v>
      </c>
      <c r="AM98" s="676">
        <v>2109761</v>
      </c>
    </row>
    <row r="99" spans="1:39" ht="26.25">
      <c r="A99" s="417" t="s">
        <v>594</v>
      </c>
      <c r="B99" s="111">
        <v>34854</v>
      </c>
      <c r="C99" s="111">
        <v>31777</v>
      </c>
      <c r="D99" s="111">
        <v>27281</v>
      </c>
      <c r="E99" s="111">
        <v>23452</v>
      </c>
      <c r="F99" s="111">
        <v>19835</v>
      </c>
      <c r="G99" s="111">
        <v>17786</v>
      </c>
      <c r="H99" s="111">
        <v>17173</v>
      </c>
      <c r="I99" s="111">
        <v>14761</v>
      </c>
      <c r="J99" s="111">
        <v>14668</v>
      </c>
      <c r="K99" s="111">
        <v>14701</v>
      </c>
      <c r="L99" s="111">
        <v>14514</v>
      </c>
      <c r="M99" s="111">
        <v>14482</v>
      </c>
      <c r="N99" s="111">
        <v>14491</v>
      </c>
      <c r="O99" s="111">
        <v>14662</v>
      </c>
      <c r="P99" s="111">
        <v>14108</v>
      </c>
      <c r="Q99" s="111">
        <v>17327</v>
      </c>
      <c r="R99" s="111">
        <v>17535</v>
      </c>
      <c r="S99" s="111">
        <v>17171</v>
      </c>
      <c r="T99" s="111">
        <v>15961</v>
      </c>
      <c r="U99" s="111">
        <v>13461</v>
      </c>
      <c r="V99" s="144">
        <v>13300</v>
      </c>
      <c r="W99" s="144">
        <v>13114</v>
      </c>
      <c r="X99" s="144">
        <v>12953</v>
      </c>
      <c r="Y99" s="144">
        <v>12715</v>
      </c>
      <c r="Z99" s="678"/>
      <c r="AA99" s="678"/>
      <c r="AB99" s="678"/>
      <c r="AC99" s="678"/>
      <c r="AD99" s="678"/>
      <c r="AE99" s="678">
        <v>0</v>
      </c>
      <c r="AF99" s="678"/>
      <c r="AG99" s="678"/>
      <c r="AH99" s="678"/>
      <c r="AI99" s="678"/>
      <c r="AJ99" s="678"/>
      <c r="AK99" s="678"/>
      <c r="AL99" s="678"/>
      <c r="AM99" s="678"/>
    </row>
    <row r="100" spans="1:39">
      <c r="A100" s="109" t="s">
        <v>346</v>
      </c>
      <c r="B100" s="684" t="s">
        <v>595</v>
      </c>
      <c r="C100" s="685"/>
      <c r="D100" s="685"/>
      <c r="E100" s="685"/>
      <c r="F100" s="685"/>
      <c r="G100" s="685"/>
      <c r="H100" s="685"/>
      <c r="I100" s="685"/>
      <c r="J100" s="685"/>
      <c r="K100" s="685"/>
      <c r="L100" s="685"/>
      <c r="M100" s="685"/>
      <c r="N100" s="685"/>
      <c r="O100" s="685"/>
      <c r="P100" s="685"/>
      <c r="Q100" s="685"/>
      <c r="R100" s="685"/>
      <c r="S100" s="685"/>
      <c r="T100" s="685"/>
      <c r="U100" s="685"/>
      <c r="V100" s="685"/>
      <c r="W100" s="685"/>
      <c r="X100" s="685"/>
      <c r="Y100" s="685"/>
      <c r="Z100" s="144">
        <v>692721</v>
      </c>
      <c r="AA100" s="144">
        <v>694023</v>
      </c>
      <c r="AB100" s="144">
        <v>615200</v>
      </c>
      <c r="AC100" s="144">
        <v>829729</v>
      </c>
      <c r="AD100" s="144">
        <v>775241</v>
      </c>
      <c r="AE100" s="144">
        <v>727048</v>
      </c>
      <c r="AF100" s="142">
        <v>808754</v>
      </c>
      <c r="AG100" s="142">
        <v>1042427</v>
      </c>
      <c r="AH100" s="142">
        <v>881079</v>
      </c>
      <c r="AI100" s="142">
        <v>832995</v>
      </c>
      <c r="AJ100" s="142">
        <v>889679</v>
      </c>
      <c r="AK100" s="142">
        <v>1127738</v>
      </c>
      <c r="AL100" s="142">
        <v>813723</v>
      </c>
      <c r="AM100" s="142">
        <v>773721</v>
      </c>
    </row>
    <row r="101" spans="1:39">
      <c r="A101" s="109" t="s">
        <v>349</v>
      </c>
      <c r="B101" s="685"/>
      <c r="C101" s="685"/>
      <c r="D101" s="685"/>
      <c r="E101" s="685"/>
      <c r="F101" s="685"/>
      <c r="G101" s="685"/>
      <c r="H101" s="685"/>
      <c r="I101" s="685"/>
      <c r="J101" s="685"/>
      <c r="K101" s="685"/>
      <c r="L101" s="685"/>
      <c r="M101" s="685"/>
      <c r="N101" s="685"/>
      <c r="O101" s="685"/>
      <c r="P101" s="685"/>
      <c r="Q101" s="685"/>
      <c r="R101" s="685"/>
      <c r="S101" s="685"/>
      <c r="T101" s="685"/>
      <c r="U101" s="685"/>
      <c r="V101" s="685"/>
      <c r="W101" s="685"/>
      <c r="X101" s="685"/>
      <c r="Y101" s="685"/>
      <c r="Z101" s="144">
        <v>327252</v>
      </c>
      <c r="AA101" s="144">
        <v>368703</v>
      </c>
      <c r="AB101" s="144">
        <v>484991</v>
      </c>
      <c r="AC101" s="144">
        <v>1033804</v>
      </c>
      <c r="AD101" s="144">
        <v>214358</v>
      </c>
      <c r="AE101" s="144">
        <v>317430</v>
      </c>
      <c r="AF101" s="142">
        <v>328792</v>
      </c>
      <c r="AG101" s="142">
        <v>797304</v>
      </c>
      <c r="AH101" s="142">
        <v>242448</v>
      </c>
      <c r="AI101" s="142">
        <v>465222</v>
      </c>
      <c r="AJ101" s="142">
        <v>393700</v>
      </c>
      <c r="AK101" s="142">
        <v>794917</v>
      </c>
      <c r="AL101" s="142">
        <v>340748</v>
      </c>
      <c r="AM101" s="142">
        <v>432608</v>
      </c>
    </row>
    <row r="102" spans="1:39">
      <c r="A102" s="109" t="s">
        <v>347</v>
      </c>
      <c r="B102" s="685"/>
      <c r="C102" s="685"/>
      <c r="D102" s="685"/>
      <c r="E102" s="685"/>
      <c r="F102" s="685"/>
      <c r="G102" s="685"/>
      <c r="H102" s="685"/>
      <c r="I102" s="685"/>
      <c r="J102" s="685"/>
      <c r="K102" s="685"/>
      <c r="L102" s="685"/>
      <c r="M102" s="685"/>
      <c r="N102" s="685"/>
      <c r="O102" s="685"/>
      <c r="P102" s="685"/>
      <c r="Q102" s="685"/>
      <c r="R102" s="685"/>
      <c r="S102" s="685"/>
      <c r="T102" s="685"/>
      <c r="U102" s="685"/>
      <c r="V102" s="685"/>
      <c r="W102" s="685"/>
      <c r="X102" s="685"/>
      <c r="Y102" s="685"/>
      <c r="Z102" s="144">
        <v>171358</v>
      </c>
      <c r="AA102" s="144">
        <v>182643</v>
      </c>
      <c r="AB102" s="144">
        <v>159372</v>
      </c>
      <c r="AC102" s="144">
        <v>255735</v>
      </c>
      <c r="AD102" s="144">
        <v>185487</v>
      </c>
      <c r="AE102" s="144">
        <v>189227</v>
      </c>
      <c r="AF102" s="142">
        <f>292994-AF104</f>
        <v>270985</v>
      </c>
      <c r="AG102" s="142">
        <v>284913</v>
      </c>
      <c r="AH102" s="142">
        <v>269944</v>
      </c>
      <c r="AI102" s="142">
        <v>341707</v>
      </c>
      <c r="AJ102" s="142">
        <v>771501</v>
      </c>
      <c r="AK102" s="142">
        <f>773571-202992</f>
        <v>570579</v>
      </c>
      <c r="AL102" s="142">
        <v>284700</v>
      </c>
      <c r="AM102" s="142">
        <v>1003428</v>
      </c>
    </row>
    <row r="103" spans="1:39" ht="26.25">
      <c r="A103" s="417" t="s">
        <v>596</v>
      </c>
      <c r="B103" s="111">
        <v>1114809</v>
      </c>
      <c r="C103" s="111">
        <v>1127523</v>
      </c>
      <c r="D103" s="111">
        <v>1198537</v>
      </c>
      <c r="E103" s="111">
        <v>1622806</v>
      </c>
      <c r="F103" s="111">
        <v>1087509</v>
      </c>
      <c r="G103" s="111">
        <f>1479627+165</f>
        <v>1479792</v>
      </c>
      <c r="H103" s="111">
        <v>1203576</v>
      </c>
      <c r="I103" s="111">
        <v>2349121</v>
      </c>
      <c r="J103" s="111">
        <v>1663080</v>
      </c>
      <c r="K103" s="111">
        <v>2131516</v>
      </c>
      <c r="L103" s="111">
        <v>1835196</v>
      </c>
      <c r="M103" s="111">
        <v>2628449</v>
      </c>
      <c r="N103" s="111">
        <v>1456633</v>
      </c>
      <c r="O103" s="111">
        <v>1541706</v>
      </c>
      <c r="P103" s="111">
        <v>1653840</v>
      </c>
      <c r="Q103" s="111">
        <v>2023537</v>
      </c>
      <c r="R103" s="111">
        <v>1234267</v>
      </c>
      <c r="S103" s="111">
        <v>1625291</v>
      </c>
      <c r="T103" s="111">
        <v>1379263</v>
      </c>
      <c r="U103" s="144">
        <v>1866865</v>
      </c>
      <c r="V103" s="180">
        <v>1500099</v>
      </c>
      <c r="W103" s="180">
        <v>1702823</v>
      </c>
      <c r="X103" s="180">
        <v>1370925</v>
      </c>
      <c r="Y103" s="180">
        <v>1801262</v>
      </c>
      <c r="Z103" s="679" t="s">
        <v>597</v>
      </c>
      <c r="AA103" s="680"/>
      <c r="AB103" s="680"/>
      <c r="AC103" s="680"/>
      <c r="AD103" s="681"/>
      <c r="AE103" s="681"/>
      <c r="AF103" s="681"/>
      <c r="AG103" s="681"/>
      <c r="AH103" s="675"/>
      <c r="AI103" s="675"/>
      <c r="AJ103" s="673"/>
      <c r="AK103" s="673"/>
      <c r="AL103" s="673"/>
    </row>
    <row r="104" spans="1:39">
      <c r="A104" s="109" t="s">
        <v>591</v>
      </c>
      <c r="B104" s="450" t="s">
        <v>69</v>
      </c>
      <c r="C104" s="450" t="s">
        <v>69</v>
      </c>
      <c r="D104" s="450" t="s">
        <v>69</v>
      </c>
      <c r="E104" s="111">
        <v>6917</v>
      </c>
      <c r="F104" s="450" t="s">
        <v>69</v>
      </c>
      <c r="G104" s="450" t="s">
        <v>69</v>
      </c>
      <c r="H104" s="450" t="s">
        <v>69</v>
      </c>
      <c r="I104" s="111">
        <v>80</v>
      </c>
      <c r="J104" s="450" t="s">
        <v>69</v>
      </c>
      <c r="K104" s="450" t="s">
        <v>69</v>
      </c>
      <c r="L104" s="450" t="s">
        <v>69</v>
      </c>
      <c r="M104" s="111">
        <v>40624</v>
      </c>
      <c r="N104" s="111">
        <v>37549</v>
      </c>
      <c r="O104" s="111">
        <v>74161</v>
      </c>
      <c r="P104" s="111">
        <v>75648</v>
      </c>
      <c r="Q104" s="111">
        <v>73358</v>
      </c>
      <c r="R104" s="111">
        <v>75609</v>
      </c>
      <c r="S104" s="111">
        <v>80218</v>
      </c>
      <c r="T104" s="111">
        <v>85680</v>
      </c>
      <c r="U104" s="111">
        <v>102615</v>
      </c>
      <c r="V104" s="144">
        <v>106007</v>
      </c>
      <c r="W104" s="144">
        <v>98289</v>
      </c>
      <c r="X104" s="144">
        <v>99559</v>
      </c>
      <c r="Y104" s="144">
        <v>96953</v>
      </c>
      <c r="Z104" s="144">
        <v>154470</v>
      </c>
      <c r="AA104" s="144">
        <v>125840</v>
      </c>
      <c r="AB104" s="144">
        <v>105449</v>
      </c>
      <c r="AC104" s="144">
        <v>560</v>
      </c>
      <c r="AD104" s="144">
        <v>5167</v>
      </c>
      <c r="AE104" s="144">
        <v>4043</v>
      </c>
      <c r="AF104" s="142">
        <v>22009</v>
      </c>
      <c r="AG104" s="142">
        <v>57249</v>
      </c>
      <c r="AH104" s="142">
        <v>112411</v>
      </c>
      <c r="AI104" s="142">
        <v>202747</v>
      </c>
      <c r="AJ104" s="142">
        <v>462838</v>
      </c>
      <c r="AK104" s="142">
        <v>202992</v>
      </c>
      <c r="AL104" s="142">
        <v>146979</v>
      </c>
      <c r="AM104" s="142">
        <v>201977</v>
      </c>
    </row>
    <row r="105" spans="1:39">
      <c r="A105" s="109" t="s">
        <v>342</v>
      </c>
      <c r="B105" s="686" t="s">
        <v>79</v>
      </c>
      <c r="C105" s="686" t="s">
        <v>80</v>
      </c>
      <c r="D105" s="686" t="s">
        <v>81</v>
      </c>
      <c r="E105" s="111">
        <v>169492</v>
      </c>
      <c r="F105" s="686" t="s">
        <v>82</v>
      </c>
      <c r="G105" s="686" t="s">
        <v>83</v>
      </c>
      <c r="H105" s="686" t="s">
        <v>84</v>
      </c>
      <c r="I105" s="111">
        <v>153676</v>
      </c>
      <c r="J105" s="686" t="s">
        <v>85</v>
      </c>
      <c r="K105" s="450" t="s">
        <v>86</v>
      </c>
      <c r="L105" s="686" t="s">
        <v>87</v>
      </c>
      <c r="M105" s="111">
        <v>167704</v>
      </c>
      <c r="N105" s="111">
        <v>173860</v>
      </c>
      <c r="O105" s="111">
        <v>165595</v>
      </c>
      <c r="P105" s="111">
        <v>167637</v>
      </c>
      <c r="Q105" s="111">
        <v>162368</v>
      </c>
      <c r="R105" s="111">
        <v>156783</v>
      </c>
      <c r="S105" s="111">
        <v>142315</v>
      </c>
      <c r="T105" s="111">
        <v>132840</v>
      </c>
      <c r="U105" s="144">
        <v>158954</v>
      </c>
      <c r="V105" s="144">
        <v>133955</v>
      </c>
      <c r="W105" s="144">
        <v>128598</v>
      </c>
      <c r="X105" s="144">
        <v>147881</v>
      </c>
      <c r="Y105" s="144">
        <v>172505</v>
      </c>
      <c r="Z105" s="144">
        <v>154652</v>
      </c>
      <c r="AA105" s="144">
        <v>146575</v>
      </c>
      <c r="AB105" s="144">
        <v>133730</v>
      </c>
      <c r="AC105" s="144">
        <v>158228</v>
      </c>
      <c r="AD105" s="144">
        <v>154944</v>
      </c>
      <c r="AE105" s="144">
        <v>127480</v>
      </c>
      <c r="AF105" s="142">
        <v>123947</v>
      </c>
      <c r="AG105" s="142">
        <v>134273</v>
      </c>
      <c r="AH105" s="142">
        <v>100105</v>
      </c>
      <c r="AI105" s="142">
        <v>92358</v>
      </c>
      <c r="AJ105" s="142">
        <v>93150</v>
      </c>
      <c r="AK105" s="142">
        <v>117287</v>
      </c>
      <c r="AL105" s="142">
        <v>105792</v>
      </c>
      <c r="AM105" s="142">
        <v>110642</v>
      </c>
    </row>
    <row r="106" spans="1:39">
      <c r="A106" s="109" t="s">
        <v>350</v>
      </c>
      <c r="B106" s="687">
        <v>476467</v>
      </c>
      <c r="C106" s="687">
        <v>577440</v>
      </c>
      <c r="D106" s="687">
        <v>923058</v>
      </c>
      <c r="E106" s="111">
        <v>989253</v>
      </c>
      <c r="F106" s="687">
        <v>693803</v>
      </c>
      <c r="G106" s="687">
        <v>748952</v>
      </c>
      <c r="H106" s="687">
        <v>958252</v>
      </c>
      <c r="I106" s="111">
        <v>1023328</v>
      </c>
      <c r="J106" s="686">
        <v>973045</v>
      </c>
      <c r="K106" s="111">
        <v>649726</v>
      </c>
      <c r="L106" s="687">
        <v>952508</v>
      </c>
      <c r="M106" s="111">
        <v>1103036</v>
      </c>
      <c r="N106" s="111">
        <v>583019</v>
      </c>
      <c r="O106" s="111">
        <v>753330</v>
      </c>
      <c r="P106" s="111">
        <v>1010316</v>
      </c>
      <c r="Q106" s="111">
        <v>1563019</v>
      </c>
      <c r="R106" s="111">
        <v>893922</v>
      </c>
      <c r="S106" s="111">
        <v>671999</v>
      </c>
      <c r="T106" s="111">
        <v>898228</v>
      </c>
      <c r="U106" s="144">
        <v>1081415</v>
      </c>
      <c r="V106" s="144">
        <v>530278</v>
      </c>
      <c r="W106" s="144">
        <v>611345</v>
      </c>
      <c r="X106" s="144">
        <v>879583</v>
      </c>
      <c r="Y106" s="144">
        <v>1196178</v>
      </c>
      <c r="Z106" s="144">
        <v>717283</v>
      </c>
      <c r="AA106" s="144">
        <v>706776</v>
      </c>
      <c r="AB106" s="144">
        <v>991762</v>
      </c>
      <c r="AC106" s="144">
        <v>1331277</v>
      </c>
      <c r="AD106" s="144">
        <v>818081</v>
      </c>
      <c r="AE106" s="144">
        <v>797713</v>
      </c>
      <c r="AF106" s="142">
        <f>720580+337166</f>
        <v>1057746</v>
      </c>
      <c r="AG106" s="142">
        <v>1302217</v>
      </c>
      <c r="AH106" s="142">
        <v>1268410</v>
      </c>
      <c r="AI106" s="142">
        <v>827555</v>
      </c>
      <c r="AJ106" s="142">
        <v>1201029</v>
      </c>
      <c r="AK106" s="142">
        <v>1054837</v>
      </c>
      <c r="AL106" s="142">
        <v>931705</v>
      </c>
      <c r="AM106" s="142">
        <v>1119951</v>
      </c>
    </row>
    <row r="107" spans="1:39">
      <c r="A107" s="109" t="s">
        <v>344</v>
      </c>
      <c r="B107" s="111">
        <v>177932</v>
      </c>
      <c r="C107" s="111">
        <v>238590</v>
      </c>
      <c r="D107" s="111">
        <v>268126</v>
      </c>
      <c r="E107" s="111">
        <v>189712</v>
      </c>
      <c r="F107" s="111">
        <v>205778</v>
      </c>
      <c r="G107" s="111">
        <v>280809</v>
      </c>
      <c r="H107" s="111">
        <v>274058</v>
      </c>
      <c r="I107" s="111">
        <f>'Hist. dane roczne - FY figures'!D104</f>
        <v>275147</v>
      </c>
      <c r="J107" s="111">
        <v>255149</v>
      </c>
      <c r="K107" s="111">
        <v>294764</v>
      </c>
      <c r="L107" s="111">
        <v>337005</v>
      </c>
      <c r="M107" s="111">
        <v>268870</v>
      </c>
      <c r="N107" s="111">
        <v>241018</v>
      </c>
      <c r="O107" s="111">
        <v>399562</v>
      </c>
      <c r="P107" s="111">
        <v>361599</v>
      </c>
      <c r="Q107" s="111">
        <v>239639</v>
      </c>
      <c r="R107" s="111">
        <v>230966</v>
      </c>
      <c r="S107" s="111">
        <v>313347</v>
      </c>
      <c r="T107" s="111">
        <v>340619</v>
      </c>
      <c r="U107" s="144">
        <v>245520</v>
      </c>
      <c r="V107" s="144">
        <v>220344</v>
      </c>
      <c r="W107" s="144">
        <v>293190</v>
      </c>
      <c r="X107" s="144">
        <v>324934</v>
      </c>
      <c r="Y107" s="144">
        <v>254337</v>
      </c>
      <c r="Z107" s="144">
        <v>233115</v>
      </c>
      <c r="AA107" s="144">
        <v>304205</v>
      </c>
      <c r="AB107" s="144">
        <v>333967</v>
      </c>
      <c r="AC107" s="144">
        <v>267662</v>
      </c>
      <c r="AD107" s="144">
        <v>229974</v>
      </c>
      <c r="AE107" s="144">
        <v>346019</v>
      </c>
      <c r="AF107" s="142">
        <v>323693</v>
      </c>
      <c r="AG107" s="142">
        <v>296576</v>
      </c>
      <c r="AH107" s="142">
        <v>272100</v>
      </c>
      <c r="AI107" s="142">
        <v>299101</v>
      </c>
      <c r="AJ107" s="142">
        <v>323010</v>
      </c>
      <c r="AK107" s="142">
        <v>200097</v>
      </c>
      <c r="AL107" s="142">
        <v>249494</v>
      </c>
      <c r="AM107" s="142">
        <v>332113</v>
      </c>
    </row>
    <row r="108" spans="1:39">
      <c r="A108" s="109" t="s">
        <v>598</v>
      </c>
      <c r="B108" s="111">
        <v>35048</v>
      </c>
      <c r="C108" s="111">
        <v>68663</v>
      </c>
      <c r="D108" s="111">
        <v>91009</v>
      </c>
      <c r="E108" s="111">
        <v>68672</v>
      </c>
      <c r="F108" s="111">
        <v>26791</v>
      </c>
      <c r="G108" s="111">
        <v>76310</v>
      </c>
      <c r="H108" s="111">
        <v>114786</v>
      </c>
      <c r="I108" s="111">
        <f>'Hist. dane roczne - FY figures'!D105</f>
        <v>163437</v>
      </c>
      <c r="J108" s="111">
        <v>174357</v>
      </c>
      <c r="K108" s="111">
        <v>45975</v>
      </c>
      <c r="L108" s="111">
        <v>83127</v>
      </c>
      <c r="M108" s="111">
        <v>113034</v>
      </c>
      <c r="N108" s="111">
        <v>72603</v>
      </c>
      <c r="O108" s="111">
        <v>63354</v>
      </c>
      <c r="P108" s="111">
        <v>117238</v>
      </c>
      <c r="Q108" s="111">
        <v>79035</v>
      </c>
      <c r="R108" s="111">
        <v>7010</v>
      </c>
      <c r="S108" s="111">
        <v>1786</v>
      </c>
      <c r="T108" s="111">
        <v>6132</v>
      </c>
      <c r="U108" s="144">
        <v>13518</v>
      </c>
      <c r="V108" s="144">
        <v>68526</v>
      </c>
      <c r="W108" s="144">
        <v>1312</v>
      </c>
      <c r="X108" s="144">
        <v>41021</v>
      </c>
      <c r="Y108" s="144">
        <v>85357</v>
      </c>
      <c r="Z108" s="711" t="s">
        <v>597</v>
      </c>
      <c r="AA108" s="692"/>
      <c r="AB108" s="692"/>
      <c r="AC108" s="692"/>
      <c r="AD108" s="675"/>
      <c r="AE108" s="675"/>
      <c r="AF108" s="675"/>
      <c r="AG108" s="675"/>
      <c r="AH108" s="675"/>
      <c r="AI108" s="675"/>
      <c r="AJ108" s="673"/>
      <c r="AK108" s="142">
        <v>426</v>
      </c>
      <c r="AL108" s="142">
        <v>2011</v>
      </c>
      <c r="AM108" s="142">
        <v>3353</v>
      </c>
    </row>
    <row r="109" spans="1:39" ht="14.45" customHeight="1">
      <c r="A109" s="109" t="s">
        <v>599</v>
      </c>
      <c r="B109" s="684" t="s">
        <v>595</v>
      </c>
      <c r="C109" s="685"/>
      <c r="D109" s="685"/>
      <c r="E109" s="685"/>
      <c r="F109" s="685"/>
      <c r="G109" s="685"/>
      <c r="H109" s="685"/>
      <c r="I109" s="685"/>
      <c r="J109" s="685"/>
      <c r="K109" s="685"/>
      <c r="L109" s="685"/>
      <c r="M109" s="685"/>
      <c r="N109" s="685"/>
      <c r="O109" s="685"/>
      <c r="P109" s="685"/>
      <c r="Q109" s="685"/>
      <c r="R109" s="685"/>
      <c r="S109" s="685"/>
      <c r="T109" s="685"/>
      <c r="U109" s="685"/>
      <c r="V109" s="685"/>
      <c r="W109" s="685"/>
      <c r="X109" s="685"/>
      <c r="Y109" s="685"/>
      <c r="Z109" s="144">
        <v>456419</v>
      </c>
      <c r="AA109" s="144">
        <v>286637</v>
      </c>
      <c r="AB109" s="144">
        <v>301060</v>
      </c>
      <c r="AC109" s="144">
        <v>410943</v>
      </c>
      <c r="AD109" s="144">
        <v>463197</v>
      </c>
      <c r="AE109" s="144">
        <v>374916</v>
      </c>
      <c r="AF109" s="142">
        <v>471021</v>
      </c>
      <c r="AG109" s="142">
        <f>451748-1588</f>
        <v>450160</v>
      </c>
      <c r="AH109" s="142">
        <v>631368</v>
      </c>
      <c r="AI109" s="142">
        <v>320851</v>
      </c>
      <c r="AJ109" s="142">
        <v>512086</v>
      </c>
      <c r="AK109" s="142">
        <v>405654</v>
      </c>
      <c r="AL109" s="142">
        <v>370404</v>
      </c>
      <c r="AM109" s="142">
        <v>328966</v>
      </c>
    </row>
    <row r="110" spans="1:39">
      <c r="A110" s="109" t="s">
        <v>351</v>
      </c>
      <c r="B110" s="111">
        <v>779395</v>
      </c>
      <c r="C110" s="111">
        <v>639528</v>
      </c>
      <c r="D110" s="111">
        <v>642473</v>
      </c>
      <c r="E110" s="111">
        <v>752819</v>
      </c>
      <c r="F110" s="111">
        <v>811554</v>
      </c>
      <c r="G110" s="111">
        <v>686263</v>
      </c>
      <c r="H110" s="111">
        <v>617978</v>
      </c>
      <c r="I110" s="111">
        <f>'Hist. dane roczne - FY figures'!D107</f>
        <v>645067</v>
      </c>
      <c r="J110" s="111">
        <v>824980</v>
      </c>
      <c r="K110" s="111">
        <v>796374</v>
      </c>
      <c r="L110" s="111">
        <v>756052</v>
      </c>
      <c r="M110" s="111">
        <v>769234</v>
      </c>
      <c r="N110" s="111">
        <v>759022</v>
      </c>
      <c r="O110" s="111">
        <v>625307</v>
      </c>
      <c r="P110" s="111">
        <v>634359</v>
      </c>
      <c r="Q110" s="111">
        <v>814814</v>
      </c>
      <c r="R110" s="111">
        <v>788643</v>
      </c>
      <c r="S110" s="111">
        <v>588576</v>
      </c>
      <c r="T110" s="111">
        <v>620345</v>
      </c>
      <c r="U110" s="144">
        <v>619689</v>
      </c>
      <c r="V110" s="180">
        <v>710168</v>
      </c>
      <c r="W110" s="180">
        <v>606884</v>
      </c>
      <c r="X110" s="180">
        <v>578900</v>
      </c>
      <c r="Y110" s="180">
        <v>618214</v>
      </c>
      <c r="Z110" s="144">
        <v>341431</v>
      </c>
      <c r="AA110" s="144">
        <v>304267</v>
      </c>
      <c r="AB110" s="144">
        <v>288306</v>
      </c>
      <c r="AC110" s="144">
        <v>301179</v>
      </c>
      <c r="AD110" s="144">
        <v>379372</v>
      </c>
      <c r="AE110" s="144">
        <v>315124</v>
      </c>
      <c r="AF110" s="142">
        <v>315271</v>
      </c>
      <c r="AG110" s="142">
        <v>310850</v>
      </c>
      <c r="AH110" s="142">
        <v>387817</v>
      </c>
      <c r="AI110" s="142">
        <v>337978</v>
      </c>
      <c r="AJ110" s="142">
        <v>339559</v>
      </c>
      <c r="AK110" s="142">
        <v>337048</v>
      </c>
      <c r="AL110" s="142">
        <v>397946</v>
      </c>
      <c r="AM110" s="142">
        <v>367217</v>
      </c>
    </row>
    <row r="111" spans="1:39" ht="26.25">
      <c r="A111" s="464" t="s">
        <v>600</v>
      </c>
      <c r="B111" s="181">
        <v>0</v>
      </c>
      <c r="C111" s="181">
        <v>0</v>
      </c>
      <c r="D111" s="181">
        <v>0</v>
      </c>
      <c r="E111" s="181">
        <v>0</v>
      </c>
      <c r="F111" s="181">
        <v>0</v>
      </c>
      <c r="G111" s="181">
        <v>0</v>
      </c>
      <c r="H111" s="181">
        <v>0</v>
      </c>
      <c r="I111" s="181">
        <v>0</v>
      </c>
      <c r="J111" s="181">
        <v>0</v>
      </c>
      <c r="K111" s="181">
        <v>0</v>
      </c>
      <c r="L111" s="181">
        <v>0</v>
      </c>
      <c r="M111" s="181">
        <v>0</v>
      </c>
      <c r="N111" s="181">
        <v>0</v>
      </c>
      <c r="O111" s="181">
        <v>0</v>
      </c>
      <c r="P111" s="181">
        <v>0</v>
      </c>
      <c r="Q111" s="181">
        <v>0</v>
      </c>
      <c r="R111" s="181">
        <v>0</v>
      </c>
      <c r="S111" s="181">
        <v>0</v>
      </c>
      <c r="T111" s="181">
        <v>0</v>
      </c>
      <c r="U111" s="182">
        <v>84970</v>
      </c>
      <c r="V111" s="153">
        <v>84282</v>
      </c>
      <c r="W111" s="153">
        <v>84157</v>
      </c>
      <c r="X111" s="153">
        <v>127060</v>
      </c>
      <c r="Y111" s="167">
        <v>0</v>
      </c>
      <c r="Z111" s="167">
        <v>0</v>
      </c>
      <c r="AA111" s="167">
        <v>0</v>
      </c>
      <c r="AB111" s="167">
        <v>0</v>
      </c>
      <c r="AC111" s="167">
        <v>0</v>
      </c>
      <c r="AD111" s="167">
        <v>0</v>
      </c>
      <c r="AE111" s="167">
        <v>0</v>
      </c>
      <c r="AF111" s="167">
        <v>0</v>
      </c>
      <c r="AG111" s="167">
        <v>0</v>
      </c>
      <c r="AH111" s="167">
        <v>0</v>
      </c>
      <c r="AI111" s="167">
        <v>0</v>
      </c>
      <c r="AJ111" s="167">
        <v>0</v>
      </c>
      <c r="AK111" s="167">
        <v>0</v>
      </c>
      <c r="AL111" s="167">
        <v>0</v>
      </c>
      <c r="AM111" s="167">
        <v>0</v>
      </c>
    </row>
    <row r="112" spans="1:39">
      <c r="A112" s="156"/>
      <c r="B112" s="180">
        <v>3201965</v>
      </c>
      <c r="C112" s="180">
        <v>3358420</v>
      </c>
      <c r="D112" s="180">
        <v>3652970</v>
      </c>
      <c r="E112" s="180">
        <v>4148150</v>
      </c>
      <c r="F112" s="180">
        <v>3060577</v>
      </c>
      <c r="G112" s="180">
        <v>3651805</v>
      </c>
      <c r="H112" s="180">
        <v>3393303</v>
      </c>
      <c r="I112" s="180">
        <f>'Hist. dane roczne - FY figures'!D109</f>
        <v>4838786</v>
      </c>
      <c r="J112" s="180">
        <v>4235457</v>
      </c>
      <c r="K112" s="180">
        <v>4339002</v>
      </c>
      <c r="L112" s="180">
        <v>4232567</v>
      </c>
      <c r="M112" s="180">
        <v>5392423</v>
      </c>
      <c r="N112" s="180">
        <v>3765182</v>
      </c>
      <c r="O112" s="180">
        <v>3924245</v>
      </c>
      <c r="P112" s="180">
        <v>4306899</v>
      </c>
      <c r="Q112" s="180">
        <v>5257730</v>
      </c>
      <c r="R112" s="180">
        <v>4018618</v>
      </c>
      <c r="S112" s="180">
        <v>3778952</v>
      </c>
      <c r="T112" s="180">
        <v>3859402</v>
      </c>
      <c r="U112" s="180">
        <v>4818537</v>
      </c>
      <c r="V112" s="180">
        <v>4003452</v>
      </c>
      <c r="W112" s="180">
        <v>4052828</v>
      </c>
      <c r="X112" s="180">
        <v>4147364</v>
      </c>
      <c r="Y112" s="180">
        <f>SUM(Y98:Y111)</f>
        <v>7439326</v>
      </c>
      <c r="Z112" s="180">
        <v>4354195</v>
      </c>
      <c r="AA112" s="180">
        <v>4190389</v>
      </c>
      <c r="AB112" s="180">
        <v>4546852</v>
      </c>
      <c r="AC112" s="180">
        <v>4808857</v>
      </c>
      <c r="AD112" s="180">
        <v>3873983</v>
      </c>
      <c r="AE112" s="180">
        <v>3627241</v>
      </c>
      <c r="AF112" s="180">
        <v>4052434</v>
      </c>
      <c r="AG112" s="180">
        <f>5028939-1588</f>
        <v>5027351</v>
      </c>
      <c r="AH112" s="142">
        <v>4484737</v>
      </c>
      <c r="AI112" s="142">
        <v>4008183</v>
      </c>
      <c r="AJ112" s="142">
        <v>5279907</v>
      </c>
      <c r="AK112" s="142">
        <v>7286742</v>
      </c>
      <c r="AL112" s="142">
        <f>'Bilans_Balance sheet'!C66</f>
        <v>6783737</v>
      </c>
      <c r="AM112" s="142">
        <v>6783737</v>
      </c>
    </row>
    <row r="113" spans="1:39">
      <c r="A113" s="107"/>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142"/>
    </row>
    <row r="114" spans="1:39">
      <c r="A114" s="118" t="s">
        <v>352</v>
      </c>
      <c r="B114" s="176">
        <v>7221161</v>
      </c>
      <c r="C114" s="176">
        <v>7218807</v>
      </c>
      <c r="D114" s="176">
        <v>7470532</v>
      </c>
      <c r="E114" s="176">
        <v>8324527</v>
      </c>
      <c r="F114" s="176">
        <v>7212993</v>
      </c>
      <c r="G114" s="176">
        <v>7767641</v>
      </c>
      <c r="H114" s="176">
        <v>7539037</v>
      </c>
      <c r="I114" s="176">
        <f>'Hist. dane roczne - FY figures'!D111</f>
        <v>12377491</v>
      </c>
      <c r="J114" s="176">
        <v>12323034</v>
      </c>
      <c r="K114" s="176">
        <v>12528896</v>
      </c>
      <c r="L114" s="176">
        <v>12837244</v>
      </c>
      <c r="M114" s="176">
        <v>14473657</v>
      </c>
      <c r="N114" s="176">
        <v>13433612</v>
      </c>
      <c r="O114" s="176">
        <v>13396516</v>
      </c>
      <c r="P114" s="176">
        <v>13749941</v>
      </c>
      <c r="Q114" s="176">
        <v>14562071</v>
      </c>
      <c r="R114" s="176">
        <v>13800937</v>
      </c>
      <c r="S114" s="176">
        <v>13754609</v>
      </c>
      <c r="T114" s="176">
        <v>13999998</v>
      </c>
      <c r="U114" s="176">
        <v>16562629</v>
      </c>
      <c r="V114" s="176">
        <v>15659657</v>
      </c>
      <c r="W114" s="176">
        <v>15830280</v>
      </c>
      <c r="X114" s="176">
        <v>16083227</v>
      </c>
      <c r="Y114" s="176">
        <v>16023276</v>
      </c>
      <c r="Z114" s="176">
        <v>15870469</v>
      </c>
      <c r="AA114" s="176">
        <v>15577699</v>
      </c>
      <c r="AB114" s="176">
        <v>15536167</v>
      </c>
      <c r="AC114" s="176">
        <v>16777576</v>
      </c>
      <c r="AD114" s="176">
        <v>15911843</v>
      </c>
      <c r="AE114" s="176">
        <v>15557136</v>
      </c>
      <c r="AF114" s="176">
        <v>17743766</v>
      </c>
      <c r="AG114" s="176">
        <v>17767203</v>
      </c>
      <c r="AH114" s="176">
        <v>16703807</v>
      </c>
      <c r="AI114" s="176">
        <v>16333447</v>
      </c>
      <c r="AJ114" s="176">
        <v>17454741</v>
      </c>
      <c r="AK114" s="176">
        <v>18668996</v>
      </c>
      <c r="AL114" s="176">
        <f>'Bilans_Balance sheet'!C68</f>
        <v>19827088</v>
      </c>
      <c r="AM114" s="176">
        <v>19827088</v>
      </c>
    </row>
    <row r="115" spans="1:39">
      <c r="A115" s="107"/>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row>
    <row r="116" spans="1:39">
      <c r="A116" s="90" t="s">
        <v>353</v>
      </c>
      <c r="B116" s="175">
        <v>21807983</v>
      </c>
      <c r="C116" s="175">
        <v>22016701.5</v>
      </c>
      <c r="D116" s="175">
        <v>22515176</v>
      </c>
      <c r="E116" s="175">
        <v>23426963</v>
      </c>
      <c r="F116" s="175">
        <v>22789982</v>
      </c>
      <c r="G116" s="175">
        <v>23404475</v>
      </c>
      <c r="H116" s="175">
        <v>23461511</v>
      </c>
      <c r="I116" s="175">
        <f>'Hist. dane roczne - FY figures'!D113</f>
        <v>28526996</v>
      </c>
      <c r="J116" s="175">
        <v>28852487</v>
      </c>
      <c r="K116" s="175">
        <v>28968106</v>
      </c>
      <c r="L116" s="175">
        <v>29676658</v>
      </c>
      <c r="M116" s="175">
        <v>31273677</v>
      </c>
      <c r="N116" s="175">
        <v>30749673</v>
      </c>
      <c r="O116" s="175">
        <v>30689681</v>
      </c>
      <c r="P116" s="175">
        <v>31425277</v>
      </c>
      <c r="Q116" s="175">
        <v>32355570</v>
      </c>
      <c r="R116" s="175">
        <v>31670077</v>
      </c>
      <c r="S116" s="175">
        <v>31577237</v>
      </c>
      <c r="T116" s="175">
        <v>32137089</v>
      </c>
      <c r="U116" s="175">
        <v>34559193</v>
      </c>
      <c r="V116" s="175">
        <v>34172992</v>
      </c>
      <c r="W116" s="175">
        <v>34322074</v>
      </c>
      <c r="X116" s="175">
        <v>34949928</v>
      </c>
      <c r="Y116" s="175">
        <v>32071433</v>
      </c>
      <c r="Z116" s="175">
        <v>32250551</v>
      </c>
      <c r="AA116" s="175">
        <v>31661822</v>
      </c>
      <c r="AB116" s="175">
        <v>31913686</v>
      </c>
      <c r="AC116" s="175">
        <v>33456894</v>
      </c>
      <c r="AD116" s="175">
        <v>32216131</v>
      </c>
      <c r="AE116" s="175">
        <v>33225894</v>
      </c>
      <c r="AF116" s="175">
        <v>35619908</v>
      </c>
      <c r="AG116" s="175">
        <v>35835016</v>
      </c>
      <c r="AH116" s="175">
        <v>35480795</v>
      </c>
      <c r="AI116" s="175">
        <v>35052682</v>
      </c>
      <c r="AJ116" s="175">
        <v>36455026</v>
      </c>
      <c r="AK116" s="175">
        <v>37097477</v>
      </c>
      <c r="AL116" s="175">
        <f>'Bilans_Balance sheet'!C70</f>
        <v>39183499</v>
      </c>
      <c r="AM116" s="175">
        <v>39183499</v>
      </c>
    </row>
    <row r="117" spans="1:39">
      <c r="B117" s="145"/>
      <c r="C117" s="145"/>
      <c r="D117" s="145"/>
      <c r="E117" s="145"/>
      <c r="F117" s="145"/>
      <c r="G117" s="145"/>
      <c r="H117" s="145"/>
      <c r="I117" s="145"/>
      <c r="J117" s="145"/>
      <c r="K117" s="145"/>
      <c r="L117" s="145"/>
      <c r="M117" s="145"/>
      <c r="N117" s="145"/>
      <c r="O117" s="145"/>
      <c r="P117" s="145"/>
      <c r="T117" s="142"/>
      <c r="AG117" s="145"/>
      <c r="AH117" s="145"/>
    </row>
    <row r="118" spans="1:39" s="183" customFormat="1" ht="15.75">
      <c r="A118" s="459" t="s">
        <v>354</v>
      </c>
      <c r="T118" s="184"/>
    </row>
    <row r="119" spans="1:39" ht="51">
      <c r="A119" s="455" t="s">
        <v>601</v>
      </c>
      <c r="B119" s="89" t="s">
        <v>602</v>
      </c>
      <c r="C119" s="89" t="s">
        <v>603</v>
      </c>
      <c r="D119" s="89" t="s">
        <v>604</v>
      </c>
      <c r="E119" s="89" t="s">
        <v>605</v>
      </c>
      <c r="F119" s="89" t="s">
        <v>606</v>
      </c>
      <c r="G119" s="89" t="s">
        <v>490</v>
      </c>
      <c r="H119" s="89" t="s">
        <v>491</v>
      </c>
      <c r="I119" s="89" t="s">
        <v>492</v>
      </c>
      <c r="J119" s="89" t="s">
        <v>493</v>
      </c>
      <c r="K119" s="89" t="s">
        <v>607</v>
      </c>
      <c r="L119" s="89" t="s">
        <v>608</v>
      </c>
      <c r="M119" s="140" t="s">
        <v>609</v>
      </c>
      <c r="N119" s="89" t="s">
        <v>497</v>
      </c>
      <c r="O119" s="89" t="s">
        <v>610</v>
      </c>
      <c r="P119" s="89" t="s">
        <v>611</v>
      </c>
      <c r="Q119" s="140" t="s">
        <v>612</v>
      </c>
      <c r="R119" s="89" t="s">
        <v>613</v>
      </c>
      <c r="S119" s="89" t="s">
        <v>614</v>
      </c>
      <c r="T119" s="170" t="s">
        <v>615</v>
      </c>
      <c r="U119" s="170" t="s">
        <v>616</v>
      </c>
      <c r="V119" s="170" t="s">
        <v>617</v>
      </c>
      <c r="W119" s="170" t="s">
        <v>618</v>
      </c>
      <c r="X119" s="170" t="s">
        <v>619</v>
      </c>
      <c r="Y119" s="170" t="s">
        <v>620</v>
      </c>
    </row>
    <row r="120" spans="1:39" s="107" customFormat="1" ht="12.75">
      <c r="A120" s="106" t="s">
        <v>355</v>
      </c>
      <c r="B120" s="176"/>
      <c r="C120" s="176"/>
      <c r="D120" s="176"/>
      <c r="E120" s="176"/>
      <c r="F120" s="176"/>
      <c r="G120" s="176"/>
      <c r="H120" s="176"/>
      <c r="I120" s="176"/>
      <c r="J120" s="176"/>
      <c r="K120" s="176"/>
      <c r="L120" s="176"/>
      <c r="M120" s="176"/>
      <c r="N120" s="176"/>
      <c r="O120" s="176"/>
      <c r="P120" s="176"/>
      <c r="Q120" s="118"/>
      <c r="R120" s="118"/>
      <c r="S120" s="118"/>
      <c r="T120" s="118"/>
      <c r="U120" s="118"/>
      <c r="V120" s="118"/>
      <c r="W120" s="118"/>
      <c r="X120" s="118"/>
      <c r="Y120" s="118"/>
    </row>
    <row r="121" spans="1:39">
      <c r="A121" s="185" t="s">
        <v>621</v>
      </c>
      <c r="B121" s="144">
        <v>449729</v>
      </c>
      <c r="C121" s="144">
        <v>271729</v>
      </c>
      <c r="D121" s="144">
        <v>324122</v>
      </c>
      <c r="E121" s="144">
        <v>211734</v>
      </c>
      <c r="F121" s="144">
        <v>486740</v>
      </c>
      <c r="G121" s="144">
        <v>428125</v>
      </c>
      <c r="H121" s="144">
        <v>366607</v>
      </c>
      <c r="I121" s="144">
        <v>318479</v>
      </c>
      <c r="J121" s="144">
        <v>498858</v>
      </c>
      <c r="K121" s="144">
        <v>643498</v>
      </c>
      <c r="L121" s="144">
        <v>536886</v>
      </c>
      <c r="M121" s="144">
        <v>268335</v>
      </c>
      <c r="N121" s="144">
        <v>737127</v>
      </c>
      <c r="O121" s="144">
        <v>349027</v>
      </c>
      <c r="P121" s="144">
        <v>459233</v>
      </c>
      <c r="Q121" s="144">
        <v>142507</v>
      </c>
      <c r="R121" s="144">
        <v>557590</v>
      </c>
      <c r="S121" s="144">
        <v>367953</v>
      </c>
      <c r="T121" s="144">
        <v>386953</v>
      </c>
      <c r="U121" s="144">
        <v>185719</v>
      </c>
      <c r="V121" s="144">
        <v>574373</v>
      </c>
      <c r="W121" s="144">
        <v>284430</v>
      </c>
      <c r="X121" s="144">
        <v>454876</v>
      </c>
      <c r="Y121" s="96">
        <v>-3501450</v>
      </c>
    </row>
    <row r="122" spans="1:39">
      <c r="A122" s="107" t="s">
        <v>622</v>
      </c>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row>
    <row r="123" spans="1:39">
      <c r="A123" s="185" t="s">
        <v>623</v>
      </c>
      <c r="B123" s="92">
        <v>0</v>
      </c>
      <c r="C123" s="92">
        <v>0</v>
      </c>
      <c r="D123" s="92">
        <v>0</v>
      </c>
      <c r="E123" s="144">
        <v>236</v>
      </c>
      <c r="F123" s="144">
        <v>297</v>
      </c>
      <c r="G123" s="144">
        <v>242</v>
      </c>
      <c r="H123" s="144">
        <v>188</v>
      </c>
      <c r="I123" s="144">
        <v>319</v>
      </c>
      <c r="J123" s="144">
        <v>354</v>
      </c>
      <c r="K123" s="144">
        <v>317</v>
      </c>
      <c r="L123" s="144">
        <v>302</v>
      </c>
      <c r="M123" s="144">
        <v>761</v>
      </c>
      <c r="N123" s="144">
        <v>869</v>
      </c>
      <c r="O123" s="144">
        <v>545</v>
      </c>
      <c r="P123" s="144">
        <v>506</v>
      </c>
      <c r="Q123" s="144">
        <v>789</v>
      </c>
      <c r="R123" s="144">
        <v>406</v>
      </c>
      <c r="S123" s="144">
        <v>370</v>
      </c>
      <c r="T123" s="144">
        <v>400</v>
      </c>
      <c r="U123" s="96">
        <v>-240</v>
      </c>
      <c r="V123" s="111">
        <v>-20400</v>
      </c>
      <c r="W123" s="144">
        <v>15530</v>
      </c>
      <c r="X123" s="144">
        <v>4560</v>
      </c>
      <c r="Y123" s="96">
        <v>-7623</v>
      </c>
    </row>
    <row r="124" spans="1:39">
      <c r="A124" s="131" t="s">
        <v>358</v>
      </c>
      <c r="B124" s="144">
        <v>346604</v>
      </c>
      <c r="C124" s="144">
        <v>341924</v>
      </c>
      <c r="D124" s="144">
        <v>340860</v>
      </c>
      <c r="E124" s="144">
        <v>329390</v>
      </c>
      <c r="F124" s="144">
        <v>349588</v>
      </c>
      <c r="G124" s="144">
        <v>348244</v>
      </c>
      <c r="H124" s="144">
        <v>351648</v>
      </c>
      <c r="I124" s="144">
        <v>361617</v>
      </c>
      <c r="J124" s="144">
        <v>416352</v>
      </c>
      <c r="K124" s="144">
        <v>411336</v>
      </c>
      <c r="L124" s="144">
        <v>420817</v>
      </c>
      <c r="M124" s="144">
        <v>437699</v>
      </c>
      <c r="N124" s="144">
        <v>432521</v>
      </c>
      <c r="O124" s="144">
        <v>431124</v>
      </c>
      <c r="P124" s="144">
        <v>423414</v>
      </c>
      <c r="Q124" s="144">
        <v>440010</v>
      </c>
      <c r="R124" s="144">
        <v>455747</v>
      </c>
      <c r="S124" s="144">
        <v>456358</v>
      </c>
      <c r="T124" s="144">
        <v>456211</v>
      </c>
      <c r="U124" s="144">
        <v>428601</v>
      </c>
      <c r="V124" s="144">
        <v>435307</v>
      </c>
      <c r="W124" s="144">
        <v>435296</v>
      </c>
      <c r="X124" s="144">
        <v>444194</v>
      </c>
      <c r="Y124" s="144">
        <v>517983</v>
      </c>
    </row>
    <row r="125" spans="1:39">
      <c r="A125" s="131" t="s">
        <v>624</v>
      </c>
      <c r="B125" s="96">
        <v>-2430</v>
      </c>
      <c r="C125" s="144">
        <v>5207</v>
      </c>
      <c r="D125" s="111">
        <v>-2576</v>
      </c>
      <c r="E125" s="111">
        <v>-158</v>
      </c>
      <c r="F125" s="111">
        <v>-308</v>
      </c>
      <c r="G125" s="111">
        <v>-118</v>
      </c>
      <c r="H125" s="144">
        <v>3363</v>
      </c>
      <c r="I125" s="96">
        <v>-118</v>
      </c>
      <c r="J125" s="96">
        <v>-1011</v>
      </c>
      <c r="K125" s="96">
        <v>-108</v>
      </c>
      <c r="L125" s="144">
        <v>421</v>
      </c>
      <c r="M125" s="144">
        <v>307</v>
      </c>
      <c r="N125" s="144">
        <v>929</v>
      </c>
      <c r="O125" s="144">
        <v>975</v>
      </c>
      <c r="P125" s="144">
        <v>204</v>
      </c>
      <c r="Q125" s="96">
        <v>-1261</v>
      </c>
      <c r="R125" s="144">
        <v>122</v>
      </c>
      <c r="S125" s="96">
        <v>-97</v>
      </c>
      <c r="T125" s="96">
        <v>-159</v>
      </c>
      <c r="U125" s="144">
        <v>7391</v>
      </c>
      <c r="V125" s="111">
        <v>-28789</v>
      </c>
      <c r="W125" s="144">
        <v>17362</v>
      </c>
      <c r="X125" s="144">
        <v>7523</v>
      </c>
      <c r="Y125" s="144">
        <v>3189</v>
      </c>
    </row>
    <row r="126" spans="1:39">
      <c r="A126" s="131" t="s">
        <v>625</v>
      </c>
      <c r="B126" s="144">
        <v>30626</v>
      </c>
      <c r="C126" s="144">
        <v>25783</v>
      </c>
      <c r="D126" s="144">
        <v>25098</v>
      </c>
      <c r="E126" s="144">
        <v>50824</v>
      </c>
      <c r="F126" s="144">
        <v>20372</v>
      </c>
      <c r="G126" s="144">
        <v>4808</v>
      </c>
      <c r="H126" s="144">
        <v>15477</v>
      </c>
      <c r="I126" s="144">
        <v>17637</v>
      </c>
      <c r="J126" s="144">
        <v>56209</v>
      </c>
      <c r="K126" s="144">
        <v>51024</v>
      </c>
      <c r="L126" s="144">
        <v>55729</v>
      </c>
      <c r="M126" s="144">
        <v>62564</v>
      </c>
      <c r="N126" s="144">
        <v>49643</v>
      </c>
      <c r="O126" s="144">
        <v>54874</v>
      </c>
      <c r="P126" s="144">
        <v>48327</v>
      </c>
      <c r="Q126" s="144">
        <v>67439</v>
      </c>
      <c r="R126" s="144">
        <v>66005</v>
      </c>
      <c r="S126" s="144">
        <v>71029</v>
      </c>
      <c r="T126" s="144">
        <v>68074</v>
      </c>
      <c r="U126" s="144">
        <v>81625</v>
      </c>
      <c r="V126" s="144">
        <v>68135</v>
      </c>
      <c r="W126" s="144">
        <v>69142</v>
      </c>
      <c r="X126" s="144">
        <v>66298</v>
      </c>
      <c r="Y126" s="144">
        <v>69927</v>
      </c>
    </row>
    <row r="127" spans="1:39">
      <c r="A127" s="131" t="s">
        <v>626</v>
      </c>
      <c r="B127" s="144">
        <v>1198</v>
      </c>
      <c r="C127" s="144">
        <v>54</v>
      </c>
      <c r="D127" s="144">
        <v>11884</v>
      </c>
      <c r="E127" s="144">
        <v>17</v>
      </c>
      <c r="F127" s="144">
        <v>1035</v>
      </c>
      <c r="G127" s="144">
        <v>11170</v>
      </c>
      <c r="H127" s="144">
        <v>2305</v>
      </c>
      <c r="I127" s="96">
        <v>-31078</v>
      </c>
      <c r="J127" s="144">
        <v>3889</v>
      </c>
      <c r="K127" s="144">
        <v>13492</v>
      </c>
      <c r="L127" s="96">
        <v>-5860</v>
      </c>
      <c r="M127" s="144">
        <v>23794</v>
      </c>
      <c r="N127" s="144">
        <v>1418</v>
      </c>
      <c r="O127" s="144">
        <v>234344</v>
      </c>
      <c r="P127" s="144">
        <v>23129</v>
      </c>
      <c r="Q127" s="144">
        <v>58823</v>
      </c>
      <c r="R127" s="144">
        <v>17162</v>
      </c>
      <c r="S127" s="144">
        <v>12707</v>
      </c>
      <c r="T127" s="144">
        <v>3327</v>
      </c>
      <c r="U127" s="144">
        <v>11347</v>
      </c>
      <c r="V127" s="96">
        <v>-21113</v>
      </c>
      <c r="W127" s="144">
        <v>59884</v>
      </c>
      <c r="X127" s="96">
        <v>-46538</v>
      </c>
      <c r="Y127" s="144">
        <v>3616589</v>
      </c>
    </row>
    <row r="128" spans="1:39">
      <c r="A128" s="131" t="s">
        <v>627</v>
      </c>
      <c r="B128" s="96">
        <v>-284957</v>
      </c>
      <c r="C128" s="144">
        <v>158263</v>
      </c>
      <c r="D128" s="96">
        <v>-17033</v>
      </c>
      <c r="E128" s="96">
        <v>-251666</v>
      </c>
      <c r="F128" s="96">
        <v>-214271</v>
      </c>
      <c r="G128" s="144">
        <v>61292</v>
      </c>
      <c r="H128" s="144">
        <v>183538</v>
      </c>
      <c r="I128" s="96">
        <v>-178504</v>
      </c>
      <c r="J128" s="96">
        <v>-372618</v>
      </c>
      <c r="K128" s="144">
        <v>304259</v>
      </c>
      <c r="L128" s="96">
        <v>-36057</v>
      </c>
      <c r="M128" s="96">
        <v>-187288</v>
      </c>
      <c r="N128" s="144">
        <v>192772</v>
      </c>
      <c r="O128" s="144">
        <v>268864</v>
      </c>
      <c r="P128" s="144">
        <v>443026</v>
      </c>
      <c r="Q128" s="144">
        <v>19755</v>
      </c>
      <c r="R128" s="96">
        <v>-3427</v>
      </c>
      <c r="S128" s="144">
        <v>214770</v>
      </c>
      <c r="T128" s="96">
        <v>-55547</v>
      </c>
      <c r="U128" s="96">
        <v>-44080</v>
      </c>
      <c r="V128" s="144">
        <v>2211</v>
      </c>
      <c r="W128" s="144">
        <v>89265</v>
      </c>
      <c r="X128" s="144">
        <v>67550</v>
      </c>
      <c r="Y128" s="96">
        <v>-40220</v>
      </c>
    </row>
    <row r="129" spans="1:30">
      <c r="A129" s="131" t="s">
        <v>628</v>
      </c>
      <c r="B129" s="144">
        <v>90350</v>
      </c>
      <c r="C129" s="144">
        <v>5913</v>
      </c>
      <c r="D129" s="96">
        <v>-240</v>
      </c>
      <c r="E129" s="144">
        <v>21349</v>
      </c>
      <c r="F129" s="144">
        <v>55183</v>
      </c>
      <c r="G129" s="96">
        <v>-38433</v>
      </c>
      <c r="H129" s="96">
        <v>-25956</v>
      </c>
      <c r="I129" s="96">
        <v>-175382</v>
      </c>
      <c r="J129" s="144">
        <v>35235</v>
      </c>
      <c r="K129" s="144">
        <v>5238</v>
      </c>
      <c r="L129" s="144">
        <v>26737</v>
      </c>
      <c r="M129" s="96">
        <v>-203302</v>
      </c>
      <c r="N129" s="144">
        <v>172998</v>
      </c>
      <c r="O129" s="144">
        <v>66095</v>
      </c>
      <c r="P129" s="96">
        <v>-16199</v>
      </c>
      <c r="Q129" s="96">
        <v>-36126</v>
      </c>
      <c r="R129" s="144">
        <v>3107</v>
      </c>
      <c r="S129" s="144">
        <v>28293</v>
      </c>
      <c r="T129" s="96">
        <v>-73741</v>
      </c>
      <c r="U129" s="96">
        <v>-1527</v>
      </c>
      <c r="V129" s="144">
        <v>46033</v>
      </c>
      <c r="W129" s="144">
        <v>75532</v>
      </c>
      <c r="X129" s="144">
        <v>42498</v>
      </c>
      <c r="Y129" s="96">
        <v>-73566</v>
      </c>
    </row>
    <row r="130" spans="1:30" ht="26.25">
      <c r="A130" s="185" t="s">
        <v>629</v>
      </c>
      <c r="B130" s="96">
        <v>-28033</v>
      </c>
      <c r="C130" s="96">
        <v>-144264</v>
      </c>
      <c r="D130" s="144">
        <v>92571</v>
      </c>
      <c r="E130" s="144">
        <v>295284</v>
      </c>
      <c r="F130" s="96">
        <v>-217821</v>
      </c>
      <c r="G130" s="96">
        <v>-124555</v>
      </c>
      <c r="H130" s="96">
        <v>-100399</v>
      </c>
      <c r="I130" s="144">
        <v>366555</v>
      </c>
      <c r="J130" s="96">
        <v>-156809</v>
      </c>
      <c r="K130" s="96">
        <v>-209471</v>
      </c>
      <c r="L130" s="144">
        <v>106904</v>
      </c>
      <c r="M130" s="144">
        <v>329588</v>
      </c>
      <c r="N130" s="96">
        <v>-576726</v>
      </c>
      <c r="O130" s="96">
        <v>-193075</v>
      </c>
      <c r="P130" s="144">
        <v>121651</v>
      </c>
      <c r="Q130" s="144">
        <v>319273</v>
      </c>
      <c r="R130" s="96">
        <v>-466194</v>
      </c>
      <c r="S130" s="96">
        <v>-178771</v>
      </c>
      <c r="T130" s="144">
        <v>103064</v>
      </c>
      <c r="U130" s="144">
        <v>307887</v>
      </c>
      <c r="V130" s="96">
        <v>-183090</v>
      </c>
      <c r="W130" s="96">
        <v>-175058</v>
      </c>
      <c r="X130" s="96">
        <v>-36216</v>
      </c>
      <c r="Y130" s="144">
        <v>213728</v>
      </c>
    </row>
    <row r="131" spans="1:30">
      <c r="A131" s="185" t="s">
        <v>630</v>
      </c>
      <c r="B131" s="144">
        <v>165305</v>
      </c>
      <c r="C131" s="96">
        <v>-49099</v>
      </c>
      <c r="D131" s="96">
        <v>-124867</v>
      </c>
      <c r="E131" s="96">
        <v>-102428</v>
      </c>
      <c r="F131" s="144">
        <v>111446</v>
      </c>
      <c r="G131" s="96">
        <v>-83371</v>
      </c>
      <c r="H131" s="96">
        <v>-66200</v>
      </c>
      <c r="I131" s="96">
        <v>-38479</v>
      </c>
      <c r="J131" s="144">
        <v>144793</v>
      </c>
      <c r="K131" s="96">
        <v>-120870</v>
      </c>
      <c r="L131" s="144">
        <v>122113</v>
      </c>
      <c r="M131" s="96">
        <v>-71124</v>
      </c>
      <c r="N131" s="144">
        <v>420507</v>
      </c>
      <c r="O131" s="96">
        <v>-263358</v>
      </c>
      <c r="P131" s="96">
        <v>-161386</v>
      </c>
      <c r="Q131" s="96">
        <v>-619071</v>
      </c>
      <c r="R131" s="144">
        <v>308637</v>
      </c>
      <c r="S131" s="144">
        <v>165652</v>
      </c>
      <c r="T131" s="96">
        <v>-155006</v>
      </c>
      <c r="U131" s="96">
        <v>-497692</v>
      </c>
      <c r="V131" s="144">
        <v>424448</v>
      </c>
      <c r="W131" s="144">
        <v>17801</v>
      </c>
      <c r="X131" s="96">
        <v>-49569</v>
      </c>
      <c r="Y131" s="96">
        <v>-496856</v>
      </c>
    </row>
    <row r="132" spans="1:30" ht="26.25">
      <c r="A132" s="185" t="s">
        <v>631</v>
      </c>
      <c r="B132" s="96">
        <v>-51505</v>
      </c>
      <c r="C132" s="144">
        <v>48098</v>
      </c>
      <c r="D132" s="144">
        <v>18661</v>
      </c>
      <c r="E132" s="96">
        <v>-46352</v>
      </c>
      <c r="F132" s="144">
        <v>7825</v>
      </c>
      <c r="G132" s="144">
        <v>64675</v>
      </c>
      <c r="H132" s="96">
        <v>-18567</v>
      </c>
      <c r="I132" s="96">
        <v>-93085</v>
      </c>
      <c r="J132" s="96">
        <v>-36835</v>
      </c>
      <c r="K132" s="144">
        <v>30597</v>
      </c>
      <c r="L132" s="144">
        <v>41459</v>
      </c>
      <c r="M132" s="96">
        <v>-100474</v>
      </c>
      <c r="N132" s="96">
        <v>-47210</v>
      </c>
      <c r="O132" s="144">
        <v>138662</v>
      </c>
      <c r="P132" s="96">
        <v>-42460</v>
      </c>
      <c r="Q132" s="96">
        <v>-198100</v>
      </c>
      <c r="R132" s="96">
        <v>-30297</v>
      </c>
      <c r="S132" s="144">
        <v>63032</v>
      </c>
      <c r="T132" s="144">
        <v>9459</v>
      </c>
      <c r="U132" s="96">
        <v>-109527</v>
      </c>
      <c r="V132" s="96">
        <v>-44186</v>
      </c>
      <c r="W132" s="144">
        <v>55396</v>
      </c>
      <c r="X132" s="144">
        <v>13419</v>
      </c>
      <c r="Y132" s="96">
        <v>-98591</v>
      </c>
    </row>
    <row r="133" spans="1:30">
      <c r="A133" s="131" t="s">
        <v>632</v>
      </c>
      <c r="B133" s="96">
        <v>-449511</v>
      </c>
      <c r="C133" s="144">
        <v>237573</v>
      </c>
      <c r="D133" s="144">
        <v>220174</v>
      </c>
      <c r="E133" s="96">
        <v>192894</v>
      </c>
      <c r="F133" s="96">
        <v>-471640</v>
      </c>
      <c r="G133" s="144">
        <v>313745</v>
      </c>
      <c r="H133" s="144">
        <v>26159</v>
      </c>
      <c r="I133" s="96">
        <v>-78299</v>
      </c>
      <c r="J133" s="96">
        <v>-245837</v>
      </c>
      <c r="K133" s="144">
        <v>57444</v>
      </c>
      <c r="L133" s="144">
        <v>95041</v>
      </c>
      <c r="M133" s="144">
        <v>353898</v>
      </c>
      <c r="N133" s="96">
        <v>-518316</v>
      </c>
      <c r="O133" s="144">
        <v>147285</v>
      </c>
      <c r="P133" s="144">
        <v>275382</v>
      </c>
      <c r="Q133" s="144">
        <v>650206</v>
      </c>
      <c r="R133" s="96">
        <v>-675084</v>
      </c>
      <c r="S133" s="96">
        <v>-240652</v>
      </c>
      <c r="T133" s="144">
        <v>231257</v>
      </c>
      <c r="U133" s="144">
        <v>389016</v>
      </c>
      <c r="V133" s="96">
        <v>-568470</v>
      </c>
      <c r="W133" s="144">
        <v>63222</v>
      </c>
      <c r="X133" s="144">
        <v>192815</v>
      </c>
      <c r="Y133" s="144">
        <v>454276</v>
      </c>
      <c r="AD133" s="145"/>
    </row>
    <row r="134" spans="1:30">
      <c r="A134" s="131" t="s">
        <v>363</v>
      </c>
      <c r="B134" s="96">
        <v>-48810</v>
      </c>
      <c r="C134" s="96">
        <v>-28878</v>
      </c>
      <c r="D134" s="96">
        <v>-54653</v>
      </c>
      <c r="E134" s="96">
        <v>-106059</v>
      </c>
      <c r="F134" s="96">
        <v>-90710</v>
      </c>
      <c r="G134" s="144">
        <v>39404</v>
      </c>
      <c r="H134" s="96">
        <v>-21030</v>
      </c>
      <c r="I134" s="96">
        <v>-39593</v>
      </c>
      <c r="J134" s="96">
        <v>-88134</v>
      </c>
      <c r="K134" s="96">
        <v>-127916</v>
      </c>
      <c r="L134" s="96">
        <v>-10634</v>
      </c>
      <c r="M134" s="96">
        <v>-102161</v>
      </c>
      <c r="N134" s="96">
        <v>-205615</v>
      </c>
      <c r="O134" s="96">
        <v>-54851</v>
      </c>
      <c r="P134" s="96">
        <v>-51690</v>
      </c>
      <c r="Q134" s="96">
        <v>-154481</v>
      </c>
      <c r="R134" s="96">
        <v>-127327</v>
      </c>
      <c r="S134" s="96">
        <v>-68830</v>
      </c>
      <c r="T134" s="96">
        <v>-31016</v>
      </c>
      <c r="U134" s="96">
        <v>-81220</v>
      </c>
      <c r="V134" s="96">
        <v>-2600</v>
      </c>
      <c r="W134" s="96">
        <v>-68601</v>
      </c>
      <c r="X134" s="144">
        <v>604</v>
      </c>
      <c r="Y134" s="96">
        <v>-41119</v>
      </c>
    </row>
    <row r="135" spans="1:30">
      <c r="A135" s="131" t="s">
        <v>169</v>
      </c>
      <c r="B135" s="96">
        <v>-7991</v>
      </c>
      <c r="C135" s="144">
        <v>8009</v>
      </c>
      <c r="D135" s="144">
        <v>16</v>
      </c>
      <c r="E135" s="144">
        <v>376</v>
      </c>
      <c r="F135" s="144">
        <v>4</v>
      </c>
      <c r="G135" s="96">
        <v>-83</v>
      </c>
      <c r="H135" s="96">
        <v>-153</v>
      </c>
      <c r="I135" s="96">
        <v>-1008</v>
      </c>
      <c r="J135" s="144">
        <v>37</v>
      </c>
      <c r="K135" s="144">
        <v>172</v>
      </c>
      <c r="L135" s="144">
        <v>185</v>
      </c>
      <c r="M135" s="96">
        <v>-1084</v>
      </c>
      <c r="N135" s="96">
        <v>-386</v>
      </c>
      <c r="O135" s="96">
        <v>-575</v>
      </c>
      <c r="P135" s="96">
        <v>-1381</v>
      </c>
      <c r="Q135" s="96">
        <v>-4436</v>
      </c>
      <c r="R135" s="96">
        <v>-204</v>
      </c>
      <c r="S135" s="96">
        <v>-384</v>
      </c>
      <c r="T135" s="96">
        <v>-148</v>
      </c>
      <c r="U135" s="96">
        <v>-194</v>
      </c>
      <c r="V135" s="92">
        <v>0</v>
      </c>
      <c r="W135" s="92">
        <v>0</v>
      </c>
      <c r="X135" s="144">
        <v>18</v>
      </c>
      <c r="Y135" s="96">
        <v>-11901</v>
      </c>
    </row>
    <row r="136" spans="1:30" s="107" customFormat="1">
      <c r="A136" s="90" t="s">
        <v>633</v>
      </c>
      <c r="B136" s="176">
        <v>210575</v>
      </c>
      <c r="C136" s="176">
        <v>880312</v>
      </c>
      <c r="D136" s="176">
        <v>834017</v>
      </c>
      <c r="E136" s="176">
        <v>595441</v>
      </c>
      <c r="F136" s="176">
        <v>37740</v>
      </c>
      <c r="G136" s="176">
        <v>1025145</v>
      </c>
      <c r="H136" s="176">
        <v>716980</v>
      </c>
      <c r="I136" s="176">
        <v>429061</v>
      </c>
      <c r="J136" s="176">
        <v>254483</v>
      </c>
      <c r="K136" s="176">
        <v>1059012</v>
      </c>
      <c r="L136" s="176">
        <v>1354043</v>
      </c>
      <c r="M136" s="176">
        <v>811513</v>
      </c>
      <c r="N136" s="176">
        <v>660531</v>
      </c>
      <c r="O136" s="176">
        <v>1179936</v>
      </c>
      <c r="P136" s="176">
        <v>1521756</v>
      </c>
      <c r="Q136" s="176">
        <v>685327</v>
      </c>
      <c r="R136" s="176">
        <v>106243</v>
      </c>
      <c r="S136" s="176">
        <v>891430</v>
      </c>
      <c r="T136" s="176">
        <v>943128</v>
      </c>
      <c r="U136" s="176">
        <v>677106</v>
      </c>
      <c r="V136" s="176">
        <v>681859</v>
      </c>
      <c r="W136" s="176">
        <v>939201</v>
      </c>
      <c r="X136" s="176">
        <v>1162032</v>
      </c>
      <c r="Y136" s="176">
        <v>604366</v>
      </c>
      <c r="Z136" s="88"/>
      <c r="AA136" s="88"/>
      <c r="AB136" s="88"/>
      <c r="AC136" s="88"/>
    </row>
    <row r="137" spans="1:30">
      <c r="A137" s="107" t="s">
        <v>365</v>
      </c>
      <c r="B137" s="96"/>
      <c r="C137" s="96"/>
      <c r="D137" s="96"/>
      <c r="E137" s="96"/>
      <c r="F137" s="96"/>
      <c r="G137" s="96"/>
      <c r="H137" s="96"/>
      <c r="I137" s="96"/>
      <c r="J137" s="96"/>
      <c r="K137" s="96"/>
      <c r="L137" s="96"/>
      <c r="M137" s="96"/>
      <c r="N137" s="96"/>
      <c r="O137" s="96"/>
      <c r="P137" s="96"/>
      <c r="T137" s="144"/>
      <c r="U137" s="145"/>
      <c r="V137" s="145"/>
      <c r="W137" s="145"/>
      <c r="X137" s="145"/>
      <c r="Y137" s="145"/>
    </row>
    <row r="138" spans="1:30" ht="26.25">
      <c r="A138" s="185" t="s">
        <v>634</v>
      </c>
      <c r="B138" s="144">
        <v>1599</v>
      </c>
      <c r="C138" s="144">
        <v>1548</v>
      </c>
      <c r="D138" s="144">
        <v>5193</v>
      </c>
      <c r="E138" s="144">
        <v>3391</v>
      </c>
      <c r="F138" s="144">
        <v>10399</v>
      </c>
      <c r="G138" s="144">
        <v>9387</v>
      </c>
      <c r="H138" s="144">
        <v>15275</v>
      </c>
      <c r="I138" s="144">
        <v>4896</v>
      </c>
      <c r="J138" s="144">
        <v>2909</v>
      </c>
      <c r="K138" s="144">
        <v>3801</v>
      </c>
      <c r="L138" s="144">
        <v>2424</v>
      </c>
      <c r="M138" s="144">
        <v>41058</v>
      </c>
      <c r="N138" s="144">
        <v>4929</v>
      </c>
      <c r="O138" s="144">
        <v>5030</v>
      </c>
      <c r="P138" s="144">
        <v>7687</v>
      </c>
      <c r="Q138" s="144">
        <v>12139</v>
      </c>
      <c r="R138" s="144">
        <v>23411</v>
      </c>
      <c r="S138" s="144">
        <v>6884</v>
      </c>
      <c r="T138" s="144">
        <v>7843</v>
      </c>
      <c r="U138" s="144">
        <v>9662</v>
      </c>
      <c r="V138" s="144">
        <v>7465</v>
      </c>
      <c r="W138" s="144">
        <v>11914</v>
      </c>
      <c r="X138" s="144">
        <v>3132</v>
      </c>
      <c r="Y138" s="144">
        <v>14043</v>
      </c>
      <c r="Z138" s="142"/>
      <c r="AA138" s="142"/>
      <c r="AB138" s="142"/>
      <c r="AC138" s="142"/>
    </row>
    <row r="139" spans="1:30" ht="26.25">
      <c r="A139" s="185" t="s">
        <v>366</v>
      </c>
      <c r="B139" s="96">
        <v>-318329</v>
      </c>
      <c r="C139" s="96">
        <v>-372182</v>
      </c>
      <c r="D139" s="96">
        <v>-347683</v>
      </c>
      <c r="E139" s="96">
        <v>-479894</v>
      </c>
      <c r="F139" s="96">
        <v>-509788</v>
      </c>
      <c r="G139" s="96">
        <v>-423043</v>
      </c>
      <c r="H139" s="96">
        <v>-585815</v>
      </c>
      <c r="I139" s="96">
        <v>-783624</v>
      </c>
      <c r="J139" s="96">
        <v>-968722</v>
      </c>
      <c r="K139" s="96">
        <v>-644899</v>
      </c>
      <c r="L139" s="96">
        <v>-820865</v>
      </c>
      <c r="M139" s="96">
        <v>-867985</v>
      </c>
      <c r="N139" s="96">
        <v>-1141405</v>
      </c>
      <c r="O139" s="96">
        <v>-704809</v>
      </c>
      <c r="P139" s="96">
        <v>-1022375</v>
      </c>
      <c r="Q139" s="96">
        <v>-1065084</v>
      </c>
      <c r="R139" s="96">
        <v>-919039</v>
      </c>
      <c r="S139" s="96">
        <v>-822975</v>
      </c>
      <c r="T139" s="96">
        <v>-731006</v>
      </c>
      <c r="U139" s="145">
        <v>-991558</v>
      </c>
      <c r="V139" s="96">
        <v>-900356</v>
      </c>
      <c r="W139" s="96">
        <v>-949754</v>
      </c>
      <c r="X139" s="96">
        <v>-975718</v>
      </c>
      <c r="Y139" s="96">
        <v>-1147682</v>
      </c>
      <c r="Z139" s="142"/>
      <c r="AA139" s="142"/>
      <c r="AB139" s="142"/>
      <c r="AC139" s="142"/>
    </row>
    <row r="140" spans="1:30" ht="26.25">
      <c r="A140" s="185" t="s">
        <v>635</v>
      </c>
      <c r="B140" s="92">
        <v>0</v>
      </c>
      <c r="C140" s="92">
        <v>0</v>
      </c>
      <c r="D140" s="92">
        <v>0</v>
      </c>
      <c r="E140" s="92">
        <v>0</v>
      </c>
      <c r="F140" s="92">
        <v>0</v>
      </c>
      <c r="G140" s="92">
        <v>0</v>
      </c>
      <c r="H140" s="92">
        <v>0</v>
      </c>
      <c r="I140" s="144">
        <v>1493</v>
      </c>
      <c r="J140" s="144">
        <v>99507</v>
      </c>
      <c r="K140" s="144">
        <v>2999</v>
      </c>
      <c r="L140" s="92">
        <v>0</v>
      </c>
      <c r="M140" s="92">
        <v>0</v>
      </c>
      <c r="N140" s="92">
        <v>0</v>
      </c>
      <c r="O140" s="92">
        <v>0</v>
      </c>
      <c r="P140" s="92">
        <v>0</v>
      </c>
      <c r="Q140" s="92">
        <v>0</v>
      </c>
      <c r="R140" s="92">
        <v>0</v>
      </c>
      <c r="S140" s="92">
        <v>0</v>
      </c>
      <c r="T140" s="92">
        <v>0</v>
      </c>
      <c r="U140" s="92">
        <v>0</v>
      </c>
      <c r="V140" s="179">
        <v>0</v>
      </c>
      <c r="W140" s="144">
        <v>21732</v>
      </c>
      <c r="X140" s="179">
        <v>0</v>
      </c>
      <c r="Y140" s="179">
        <v>0</v>
      </c>
      <c r="Z140" s="142"/>
      <c r="AA140" s="142"/>
      <c r="AB140" s="142"/>
      <c r="AC140" s="142"/>
    </row>
    <row r="141" spans="1:30">
      <c r="A141" s="131" t="s">
        <v>636</v>
      </c>
      <c r="B141" s="144">
        <v>4496</v>
      </c>
      <c r="C141" s="144">
        <v>3324</v>
      </c>
      <c r="D141" s="144">
        <v>27105</v>
      </c>
      <c r="E141" s="144">
        <v>21264</v>
      </c>
      <c r="F141" s="144">
        <v>9125</v>
      </c>
      <c r="G141" s="144">
        <v>15940</v>
      </c>
      <c r="H141" s="144">
        <v>672</v>
      </c>
      <c r="I141" s="144">
        <v>87074</v>
      </c>
      <c r="J141" s="144">
        <v>6919</v>
      </c>
      <c r="K141" s="144">
        <v>341</v>
      </c>
      <c r="L141" s="144">
        <v>13533</v>
      </c>
      <c r="M141" s="144">
        <v>1218</v>
      </c>
      <c r="N141" s="144">
        <v>0</v>
      </c>
      <c r="O141" s="144">
        <v>760</v>
      </c>
      <c r="P141" s="144">
        <v>629</v>
      </c>
      <c r="Q141" s="144">
        <v>2848</v>
      </c>
      <c r="R141" s="144">
        <v>84</v>
      </c>
      <c r="S141" s="144">
        <v>1188</v>
      </c>
      <c r="T141" s="144">
        <v>580</v>
      </c>
      <c r="U141" s="144">
        <v>36412</v>
      </c>
      <c r="V141" s="144">
        <v>1109</v>
      </c>
      <c r="W141" s="144">
        <f>22540-21732</f>
        <v>808</v>
      </c>
      <c r="X141" s="144">
        <v>580</v>
      </c>
      <c r="Y141" s="144">
        <v>580</v>
      </c>
      <c r="Z141" s="142"/>
      <c r="AA141" s="142"/>
      <c r="AB141" s="142"/>
      <c r="AC141" s="142"/>
    </row>
    <row r="142" spans="1:30">
      <c r="A142" s="131" t="s">
        <v>637</v>
      </c>
      <c r="B142" s="92">
        <v>0</v>
      </c>
      <c r="C142" s="92">
        <v>0</v>
      </c>
      <c r="D142" s="92">
        <v>0</v>
      </c>
      <c r="E142" s="92">
        <v>0</v>
      </c>
      <c r="F142" s="92">
        <v>0</v>
      </c>
      <c r="G142" s="92">
        <v>0</v>
      </c>
      <c r="H142" s="92">
        <v>0</v>
      </c>
      <c r="I142" s="92">
        <v>0</v>
      </c>
      <c r="J142" s="92">
        <v>0</v>
      </c>
      <c r="K142" s="92">
        <v>0</v>
      </c>
      <c r="L142" s="92">
        <v>0</v>
      </c>
      <c r="M142" s="92">
        <v>0</v>
      </c>
      <c r="N142" s="92">
        <v>0</v>
      </c>
      <c r="O142" s="92">
        <v>0</v>
      </c>
      <c r="P142" s="92">
        <v>0</v>
      </c>
      <c r="Q142" s="96">
        <v>-232500</v>
      </c>
      <c r="R142" s="92">
        <v>0</v>
      </c>
      <c r="S142" s="92">
        <v>0</v>
      </c>
      <c r="T142" s="92">
        <v>0</v>
      </c>
      <c r="U142" s="92">
        <v>0</v>
      </c>
      <c r="V142" s="179">
        <v>0</v>
      </c>
      <c r="W142" s="179">
        <v>0</v>
      </c>
      <c r="X142" s="179">
        <v>0</v>
      </c>
      <c r="Y142" s="179">
        <v>0</v>
      </c>
      <c r="Z142" s="142"/>
      <c r="AA142" s="142"/>
      <c r="AB142" s="142"/>
      <c r="AC142" s="142"/>
    </row>
    <row r="143" spans="1:30">
      <c r="A143" s="131" t="s">
        <v>638</v>
      </c>
      <c r="B143" s="96">
        <v>-85581</v>
      </c>
      <c r="C143" s="144">
        <v>35425</v>
      </c>
      <c r="D143" s="96">
        <v>-46519</v>
      </c>
      <c r="E143" s="144">
        <v>27105</v>
      </c>
      <c r="F143" s="96">
        <v>-14529</v>
      </c>
      <c r="G143" s="96">
        <v>-105</v>
      </c>
      <c r="H143" s="144">
        <v>75</v>
      </c>
      <c r="I143" s="96">
        <v>-133430</v>
      </c>
      <c r="J143" s="96">
        <v>-2722</v>
      </c>
      <c r="K143" s="96">
        <v>-5674</v>
      </c>
      <c r="L143" s="96">
        <v>-1689</v>
      </c>
      <c r="M143" s="96">
        <v>-378</v>
      </c>
      <c r="N143" s="96">
        <v>-3406</v>
      </c>
      <c r="O143" s="96">
        <v>-840</v>
      </c>
      <c r="P143" s="96">
        <v>-153</v>
      </c>
      <c r="Q143" s="96">
        <v>-521</v>
      </c>
      <c r="R143" s="96">
        <v>-4109</v>
      </c>
      <c r="S143" s="96">
        <v>-291</v>
      </c>
      <c r="T143" s="96">
        <v>-1879</v>
      </c>
      <c r="U143" s="145">
        <v>-405</v>
      </c>
      <c r="V143" s="96">
        <v>-5332</v>
      </c>
      <c r="W143" s="96">
        <v>-16402</v>
      </c>
      <c r="X143" s="96">
        <v>-7266</v>
      </c>
      <c r="Y143" s="96">
        <v>-67</v>
      </c>
      <c r="Z143" s="142"/>
      <c r="AA143" s="142"/>
      <c r="AB143" s="142"/>
      <c r="AC143" s="142"/>
    </row>
    <row r="144" spans="1:30" ht="26.25">
      <c r="A144" s="185" t="s">
        <v>639</v>
      </c>
      <c r="B144" s="96">
        <v>-500</v>
      </c>
      <c r="C144" s="144">
        <v>500</v>
      </c>
      <c r="D144" s="92">
        <v>0</v>
      </c>
      <c r="E144" s="96">
        <v>-1000</v>
      </c>
      <c r="F144" s="96">
        <v>-13000</v>
      </c>
      <c r="G144" s="92">
        <v>0</v>
      </c>
      <c r="H144" s="96">
        <v>-10000</v>
      </c>
      <c r="I144" s="92">
        <v>0</v>
      </c>
      <c r="J144" s="171">
        <v>0</v>
      </c>
      <c r="K144" s="171">
        <v>0</v>
      </c>
      <c r="L144" s="171">
        <v>0</v>
      </c>
      <c r="M144" s="96">
        <v>-32576</v>
      </c>
      <c r="N144" s="171">
        <v>0</v>
      </c>
      <c r="O144" s="92">
        <v>0</v>
      </c>
      <c r="P144" s="92">
        <v>0</v>
      </c>
      <c r="Q144" s="92">
        <v>0</v>
      </c>
      <c r="R144" s="92">
        <v>0</v>
      </c>
      <c r="S144" s="92">
        <v>0</v>
      </c>
      <c r="T144" s="92">
        <v>0</v>
      </c>
      <c r="U144" s="92">
        <v>0</v>
      </c>
      <c r="V144" s="179">
        <v>0</v>
      </c>
      <c r="W144" s="179">
        <v>0</v>
      </c>
      <c r="X144" s="179">
        <v>0</v>
      </c>
      <c r="Y144" s="179">
        <v>0</v>
      </c>
      <c r="Z144" s="142"/>
      <c r="AA144" s="142"/>
      <c r="AB144" s="142"/>
      <c r="AC144" s="142"/>
    </row>
    <row r="145" spans="1:30" ht="26.25">
      <c r="A145" s="185" t="s">
        <v>640</v>
      </c>
      <c r="B145" s="92">
        <v>0</v>
      </c>
      <c r="C145" s="92">
        <v>0</v>
      </c>
      <c r="D145" s="92">
        <v>0</v>
      </c>
      <c r="E145" s="144">
        <v>23</v>
      </c>
      <c r="F145" s="92">
        <v>0</v>
      </c>
      <c r="G145" s="92">
        <v>0</v>
      </c>
      <c r="H145" s="96">
        <v>-71439</v>
      </c>
      <c r="I145" s="96">
        <v>-3308176</v>
      </c>
      <c r="J145" s="96">
        <v>-5500</v>
      </c>
      <c r="K145" s="96">
        <v>-113</v>
      </c>
      <c r="L145" s="92">
        <v>0</v>
      </c>
      <c r="M145" s="92">
        <v>0</v>
      </c>
      <c r="N145" s="171">
        <v>0</v>
      </c>
      <c r="O145" s="92">
        <v>0</v>
      </c>
      <c r="P145" s="92">
        <v>0</v>
      </c>
      <c r="Q145" s="92">
        <v>0</v>
      </c>
      <c r="R145" s="92">
        <v>0</v>
      </c>
      <c r="S145" s="92">
        <v>0</v>
      </c>
      <c r="T145" s="92">
        <v>0</v>
      </c>
      <c r="U145" s="92">
        <v>0</v>
      </c>
      <c r="V145" s="179">
        <v>0</v>
      </c>
      <c r="W145" s="179">
        <v>0</v>
      </c>
      <c r="X145" s="179">
        <v>0</v>
      </c>
      <c r="Y145" s="179">
        <v>0</v>
      </c>
      <c r="Z145" s="142"/>
      <c r="AA145" s="142"/>
      <c r="AB145" s="142"/>
      <c r="AC145" s="142"/>
    </row>
    <row r="146" spans="1:30">
      <c r="A146" s="131" t="s">
        <v>641</v>
      </c>
      <c r="B146" s="92">
        <v>0</v>
      </c>
      <c r="C146" s="144">
        <v>2198</v>
      </c>
      <c r="D146" s="144">
        <v>1574</v>
      </c>
      <c r="E146" s="144">
        <v>577</v>
      </c>
      <c r="F146" s="92">
        <v>0</v>
      </c>
      <c r="G146" s="144">
        <v>6358</v>
      </c>
      <c r="H146" s="144">
        <v>1764</v>
      </c>
      <c r="I146" s="144">
        <v>51</v>
      </c>
      <c r="J146" s="92">
        <v>0</v>
      </c>
      <c r="K146" s="144">
        <v>1485</v>
      </c>
      <c r="L146" s="144">
        <v>6820</v>
      </c>
      <c r="M146" s="144">
        <v>44</v>
      </c>
      <c r="N146" s="144">
        <v>5514</v>
      </c>
      <c r="O146" s="144">
        <v>1882</v>
      </c>
      <c r="P146" s="144">
        <v>10895</v>
      </c>
      <c r="Q146" s="144">
        <v>32</v>
      </c>
      <c r="R146" s="144">
        <v>146</v>
      </c>
      <c r="S146" s="144">
        <v>1950</v>
      </c>
      <c r="T146" s="144">
        <v>1670</v>
      </c>
      <c r="U146" s="144">
        <v>165</v>
      </c>
      <c r="V146" s="179">
        <v>0</v>
      </c>
      <c r="W146" s="144">
        <v>3585</v>
      </c>
      <c r="X146" s="144">
        <v>1099</v>
      </c>
      <c r="Y146" s="179">
        <v>0</v>
      </c>
      <c r="Z146" s="142"/>
      <c r="AA146" s="142"/>
      <c r="AB146" s="142"/>
      <c r="AC146" s="142"/>
    </row>
    <row r="147" spans="1:30">
      <c r="A147" s="131" t="s">
        <v>642</v>
      </c>
      <c r="B147" s="144">
        <v>134</v>
      </c>
      <c r="C147" s="144">
        <v>28</v>
      </c>
      <c r="D147" s="144">
        <v>246</v>
      </c>
      <c r="E147" s="144">
        <v>969</v>
      </c>
      <c r="F147" s="92">
        <v>0</v>
      </c>
      <c r="G147" s="144">
        <v>27</v>
      </c>
      <c r="H147" s="96">
        <v>-27</v>
      </c>
      <c r="I147" s="144">
        <v>666</v>
      </c>
      <c r="J147" s="92">
        <v>0</v>
      </c>
      <c r="K147" s="144">
        <v>1</v>
      </c>
      <c r="L147" s="144">
        <v>135</v>
      </c>
      <c r="M147" s="92">
        <v>0</v>
      </c>
      <c r="N147" s="144">
        <v>457</v>
      </c>
      <c r="O147" s="96">
        <v>-401</v>
      </c>
      <c r="P147" s="96">
        <v>-16</v>
      </c>
      <c r="Q147" s="92">
        <v>0</v>
      </c>
      <c r="R147" s="144">
        <v>11</v>
      </c>
      <c r="S147" s="144">
        <v>458</v>
      </c>
      <c r="T147" s="144">
        <v>72</v>
      </c>
      <c r="U147" s="144">
        <v>527</v>
      </c>
      <c r="V147" s="144">
        <v>5281</v>
      </c>
      <c r="W147" s="144">
        <v>339</v>
      </c>
      <c r="X147" s="144">
        <v>88</v>
      </c>
      <c r="Y147" s="144">
        <v>300</v>
      </c>
      <c r="Z147" s="142"/>
      <c r="AA147" s="142"/>
      <c r="AB147" s="142"/>
      <c r="AC147" s="142"/>
      <c r="AD147" s="142"/>
    </row>
    <row r="148" spans="1:30">
      <c r="A148" s="131" t="s">
        <v>643</v>
      </c>
      <c r="B148" s="92">
        <v>0</v>
      </c>
      <c r="C148" s="144">
        <v>30</v>
      </c>
      <c r="D148" s="144">
        <v>15</v>
      </c>
      <c r="E148" s="144">
        <v>1430</v>
      </c>
      <c r="F148" s="92">
        <v>0</v>
      </c>
      <c r="G148" s="144">
        <v>25</v>
      </c>
      <c r="H148" s="144">
        <v>85</v>
      </c>
      <c r="I148" s="144">
        <v>130</v>
      </c>
      <c r="J148" s="92">
        <v>0</v>
      </c>
      <c r="K148" s="92">
        <v>0</v>
      </c>
      <c r="L148" s="144">
        <v>13000</v>
      </c>
      <c r="M148" s="144">
        <v>11500</v>
      </c>
      <c r="N148" s="144">
        <v>5850</v>
      </c>
      <c r="O148" s="144">
        <v>11700</v>
      </c>
      <c r="P148" s="144">
        <v>29250</v>
      </c>
      <c r="Q148" s="92">
        <v>0</v>
      </c>
      <c r="R148" s="92">
        <v>0</v>
      </c>
      <c r="S148" s="144">
        <v>5850</v>
      </c>
      <c r="T148" s="92">
        <v>0</v>
      </c>
      <c r="U148" s="144">
        <v>5850</v>
      </c>
      <c r="V148" s="144">
        <v>12200</v>
      </c>
      <c r="W148" s="144">
        <v>2300</v>
      </c>
      <c r="X148" s="179">
        <v>0</v>
      </c>
      <c r="Y148" s="179">
        <v>0</v>
      </c>
      <c r="Z148" s="142"/>
      <c r="AA148" s="142"/>
      <c r="AB148" s="142"/>
      <c r="AC148" s="142"/>
    </row>
    <row r="149" spans="1:30">
      <c r="A149" s="131" t="s">
        <v>367</v>
      </c>
      <c r="B149" s="92">
        <v>0</v>
      </c>
      <c r="C149" s="96">
        <v>-9000</v>
      </c>
      <c r="D149" s="92">
        <v>0</v>
      </c>
      <c r="E149" s="144">
        <v>7600</v>
      </c>
      <c r="F149" s="144">
        <v>15</v>
      </c>
      <c r="G149" s="96">
        <v>-15</v>
      </c>
      <c r="H149" s="144">
        <v>44</v>
      </c>
      <c r="I149" s="96">
        <v>-44</v>
      </c>
      <c r="J149" s="92">
        <v>0</v>
      </c>
      <c r="K149" s="96">
        <v>-75000</v>
      </c>
      <c r="L149" s="92">
        <v>0</v>
      </c>
      <c r="M149" s="96">
        <v>-64500</v>
      </c>
      <c r="N149" s="96">
        <v>-38850</v>
      </c>
      <c r="O149" s="96">
        <v>-40700</v>
      </c>
      <c r="P149" s="96">
        <v>-29250</v>
      </c>
      <c r="Q149" s="92">
        <v>0</v>
      </c>
      <c r="R149" s="96">
        <v>-5850</v>
      </c>
      <c r="S149" s="92">
        <v>0</v>
      </c>
      <c r="T149" s="96">
        <v>-5850</v>
      </c>
      <c r="U149" s="145">
        <v>-6350</v>
      </c>
      <c r="V149" s="96">
        <v>-8150</v>
      </c>
      <c r="W149" s="92">
        <v>0</v>
      </c>
      <c r="X149" s="92">
        <v>0</v>
      </c>
      <c r="Y149" s="96">
        <v>-17950</v>
      </c>
      <c r="Z149" s="142"/>
      <c r="AA149" s="142"/>
      <c r="AB149" s="142"/>
      <c r="AC149" s="142"/>
    </row>
    <row r="150" spans="1:30">
      <c r="A150" s="131" t="s">
        <v>169</v>
      </c>
      <c r="B150" s="144">
        <v>8</v>
      </c>
      <c r="C150" s="144">
        <v>2964</v>
      </c>
      <c r="D150" s="144">
        <v>3801</v>
      </c>
      <c r="E150" s="96">
        <v>-335</v>
      </c>
      <c r="F150" s="96">
        <v>-1</v>
      </c>
      <c r="G150" s="144">
        <v>1</v>
      </c>
      <c r="H150" s="96">
        <v>-120001</v>
      </c>
      <c r="I150" s="144">
        <v>120001</v>
      </c>
      <c r="J150" s="92">
        <v>0</v>
      </c>
      <c r="K150" s="92">
        <v>0</v>
      </c>
      <c r="L150" s="92">
        <v>0</v>
      </c>
      <c r="M150" s="92">
        <v>0</v>
      </c>
      <c r="N150" s="144">
        <v>2</v>
      </c>
      <c r="O150" s="144">
        <v>2</v>
      </c>
      <c r="P150" s="96">
        <v>-2</v>
      </c>
      <c r="Q150" s="144">
        <v>218</v>
      </c>
      <c r="R150" s="92">
        <v>0</v>
      </c>
      <c r="S150" s="92">
        <v>0</v>
      </c>
      <c r="T150" s="92">
        <v>0</v>
      </c>
      <c r="U150" s="145">
        <v>-184</v>
      </c>
      <c r="V150" s="92">
        <v>0</v>
      </c>
      <c r="W150" s="92">
        <v>0</v>
      </c>
      <c r="X150" s="92">
        <v>0</v>
      </c>
      <c r="Y150" s="92">
        <v>0</v>
      </c>
      <c r="Z150" s="142"/>
      <c r="AA150" s="142"/>
      <c r="AB150" s="142"/>
      <c r="AC150" s="142"/>
    </row>
    <row r="151" spans="1:30" s="107" customFormat="1">
      <c r="A151" s="90" t="s">
        <v>372</v>
      </c>
      <c r="B151" s="176">
        <v>-398173</v>
      </c>
      <c r="C151" s="176">
        <v>-335165</v>
      </c>
      <c r="D151" s="176">
        <v>-356268</v>
      </c>
      <c r="E151" s="176">
        <v>-418870</v>
      </c>
      <c r="F151" s="176">
        <v>-517779</v>
      </c>
      <c r="G151" s="176">
        <v>-391425</v>
      </c>
      <c r="H151" s="176">
        <v>-769367</v>
      </c>
      <c r="I151" s="176">
        <v>-4010963</v>
      </c>
      <c r="J151" s="176">
        <v>-867609</v>
      </c>
      <c r="K151" s="176">
        <v>-717059</v>
      </c>
      <c r="L151" s="176">
        <v>-786642</v>
      </c>
      <c r="M151" s="176">
        <v>-911619</v>
      </c>
      <c r="N151" s="176">
        <v>-1166909</v>
      </c>
      <c r="O151" s="176">
        <v>-727376</v>
      </c>
      <c r="P151" s="176">
        <v>-1003335</v>
      </c>
      <c r="Q151" s="176">
        <v>-1282868</v>
      </c>
      <c r="R151" s="176">
        <v>-905346</v>
      </c>
      <c r="S151" s="176">
        <v>-806936</v>
      </c>
      <c r="T151" s="176">
        <v>-728570</v>
      </c>
      <c r="U151" s="176">
        <v>-945881</v>
      </c>
      <c r="V151" s="176">
        <v>-887783</v>
      </c>
      <c r="W151" s="176">
        <v>-925478</v>
      </c>
      <c r="X151" s="176">
        <v>-978085</v>
      </c>
      <c r="Y151" s="176">
        <v>-1150776</v>
      </c>
      <c r="Z151" s="142"/>
      <c r="AA151" s="142"/>
      <c r="AB151" s="142"/>
      <c r="AC151" s="142"/>
    </row>
    <row r="152" spans="1:30">
      <c r="A152" s="107" t="s">
        <v>373</v>
      </c>
      <c r="B152" s="96"/>
      <c r="C152" s="96"/>
      <c r="D152" s="96"/>
      <c r="E152" s="96"/>
      <c r="F152" s="96"/>
      <c r="G152" s="96"/>
      <c r="H152" s="96"/>
      <c r="I152" s="96"/>
      <c r="J152" s="96"/>
      <c r="K152" s="96"/>
      <c r="L152" s="96"/>
      <c r="M152" s="96"/>
      <c r="N152" s="96"/>
      <c r="O152" s="96"/>
      <c r="P152" s="96"/>
      <c r="T152" s="144"/>
      <c r="U152" s="145"/>
      <c r="V152" s="145"/>
      <c r="W152" s="145"/>
      <c r="X152" s="145"/>
      <c r="Y152" s="145"/>
    </row>
    <row r="153" spans="1:30">
      <c r="A153" s="131" t="s">
        <v>644</v>
      </c>
      <c r="B153" s="96">
        <v>-10386</v>
      </c>
      <c r="C153" s="96">
        <v>-8182</v>
      </c>
      <c r="D153" s="96">
        <v>-7547</v>
      </c>
      <c r="E153" s="96">
        <v>-9727</v>
      </c>
      <c r="F153" s="96">
        <v>-9894</v>
      </c>
      <c r="G153" s="96">
        <v>-5026</v>
      </c>
      <c r="H153" s="96">
        <v>-3795</v>
      </c>
      <c r="I153" s="96">
        <v>-6888</v>
      </c>
      <c r="J153" s="96">
        <v>-4952</v>
      </c>
      <c r="K153" s="96">
        <v>-2901</v>
      </c>
      <c r="L153" s="96">
        <v>-2696</v>
      </c>
      <c r="M153" s="96">
        <v>-4285</v>
      </c>
      <c r="N153" s="96">
        <v>-4752</v>
      </c>
      <c r="O153" s="96">
        <v>-2743</v>
      </c>
      <c r="P153" s="96">
        <v>-3310</v>
      </c>
      <c r="Q153" s="96">
        <v>-4106</v>
      </c>
      <c r="R153" s="96">
        <v>-5541</v>
      </c>
      <c r="S153" s="96">
        <v>-4358</v>
      </c>
      <c r="T153" s="96">
        <v>-3778</v>
      </c>
      <c r="U153" s="96">
        <v>-6945</v>
      </c>
      <c r="V153" s="96">
        <v>-4946</v>
      </c>
      <c r="W153" s="96">
        <v>-2770</v>
      </c>
      <c r="X153" s="96">
        <v>-2580</v>
      </c>
      <c r="Y153" s="96">
        <v>-4130</v>
      </c>
    </row>
    <row r="154" spans="1:30">
      <c r="A154" s="131" t="s">
        <v>645</v>
      </c>
      <c r="B154" s="144">
        <v>40082</v>
      </c>
      <c r="C154" s="144">
        <v>19449</v>
      </c>
      <c r="D154" s="144">
        <v>938</v>
      </c>
      <c r="E154" s="144">
        <v>106646</v>
      </c>
      <c r="F154" s="144">
        <v>60594</v>
      </c>
      <c r="G154" s="144">
        <v>15000</v>
      </c>
      <c r="H154" s="144">
        <v>11661</v>
      </c>
      <c r="I154" s="96">
        <v>-1</v>
      </c>
      <c r="J154" s="144">
        <v>542000</v>
      </c>
      <c r="K154" s="144">
        <v>7000</v>
      </c>
      <c r="L154" s="144">
        <v>450000</v>
      </c>
      <c r="M154" s="144">
        <v>6000</v>
      </c>
      <c r="N154" s="144">
        <v>451180</v>
      </c>
      <c r="O154" s="92">
        <v>0</v>
      </c>
      <c r="P154" s="144">
        <v>513</v>
      </c>
      <c r="Q154" s="144">
        <v>632</v>
      </c>
      <c r="R154" s="92">
        <v>0</v>
      </c>
      <c r="S154" s="92">
        <v>0</v>
      </c>
      <c r="T154" s="92">
        <v>0</v>
      </c>
      <c r="U154" s="92">
        <v>0</v>
      </c>
      <c r="V154" s="92">
        <v>0</v>
      </c>
      <c r="W154" s="92">
        <v>0</v>
      </c>
      <c r="X154" s="144">
        <v>295000</v>
      </c>
      <c r="Y154" s="92">
        <v>0</v>
      </c>
    </row>
    <row r="155" spans="1:30">
      <c r="A155" s="131" t="s">
        <v>646</v>
      </c>
      <c r="B155" s="96">
        <v>-84553</v>
      </c>
      <c r="C155" s="96">
        <v>-148527</v>
      </c>
      <c r="D155" s="96">
        <v>-101680</v>
      </c>
      <c r="E155" s="96">
        <v>-409260</v>
      </c>
      <c r="F155" s="96">
        <v>-152215</v>
      </c>
      <c r="G155" s="96">
        <v>-83769</v>
      </c>
      <c r="H155" s="96">
        <v>-162825</v>
      </c>
      <c r="I155" s="96">
        <v>-68374</v>
      </c>
      <c r="J155" s="96">
        <v>-31103</v>
      </c>
      <c r="K155" s="96">
        <v>-65412</v>
      </c>
      <c r="L155" s="96">
        <v>-31232</v>
      </c>
      <c r="M155" s="96">
        <v>-129463</v>
      </c>
      <c r="N155" s="96">
        <v>-7900</v>
      </c>
      <c r="O155" s="96">
        <v>-11748</v>
      </c>
      <c r="P155" s="96">
        <v>-30139</v>
      </c>
      <c r="Q155" s="96">
        <v>-91439</v>
      </c>
      <c r="R155" s="96">
        <v>-30340</v>
      </c>
      <c r="S155" s="96">
        <v>-30368</v>
      </c>
      <c r="T155" s="96">
        <v>-30370</v>
      </c>
      <c r="U155" s="96">
        <v>-78893</v>
      </c>
      <c r="V155" s="96">
        <v>-22353</v>
      </c>
      <c r="W155" s="96">
        <v>-22386</v>
      </c>
      <c r="X155" s="96">
        <v>-22387</v>
      </c>
      <c r="Y155" s="96">
        <v>-73459</v>
      </c>
    </row>
    <row r="156" spans="1:30">
      <c r="A156" s="131" t="s">
        <v>377</v>
      </c>
      <c r="B156" s="92">
        <v>0</v>
      </c>
      <c r="C156" s="92">
        <v>0</v>
      </c>
      <c r="D156" s="92">
        <v>0</v>
      </c>
      <c r="E156" s="96">
        <v>848200</v>
      </c>
      <c r="F156" s="92">
        <v>0</v>
      </c>
      <c r="G156" s="92">
        <v>0</v>
      </c>
      <c r="H156" s="92">
        <v>0</v>
      </c>
      <c r="I156" s="144">
        <v>3300000</v>
      </c>
      <c r="J156" s="144">
        <v>150000</v>
      </c>
      <c r="K156" s="92">
        <v>0</v>
      </c>
      <c r="L156" s="92">
        <v>0</v>
      </c>
      <c r="M156" s="92">
        <v>0</v>
      </c>
      <c r="N156" s="92">
        <v>0</v>
      </c>
      <c r="O156" s="92">
        <v>0</v>
      </c>
      <c r="P156" s="92">
        <v>0</v>
      </c>
      <c r="Q156" s="92">
        <v>0</v>
      </c>
      <c r="R156" s="144">
        <v>800000</v>
      </c>
      <c r="S156" s="144">
        <v>200000</v>
      </c>
      <c r="T156" s="144">
        <v>200000</v>
      </c>
      <c r="U156" s="144">
        <v>2453234</v>
      </c>
      <c r="V156" s="92">
        <v>0</v>
      </c>
      <c r="W156" s="92">
        <v>0</v>
      </c>
      <c r="X156" s="92">
        <v>0</v>
      </c>
      <c r="Y156" s="144">
        <v>310000</v>
      </c>
    </row>
    <row r="157" spans="1:30">
      <c r="A157" s="186" t="s">
        <v>647</v>
      </c>
      <c r="B157" s="171">
        <v>0</v>
      </c>
      <c r="C157" s="96">
        <v>-41308</v>
      </c>
      <c r="D157" s="92">
        <v>0</v>
      </c>
      <c r="E157" s="96">
        <v>-567384</v>
      </c>
      <c r="F157" s="92">
        <v>0</v>
      </c>
      <c r="G157" s="92">
        <v>0</v>
      </c>
      <c r="H157" s="92">
        <v>0</v>
      </c>
      <c r="I157" s="92">
        <v>0</v>
      </c>
      <c r="J157" s="92">
        <v>0</v>
      </c>
      <c r="K157" s="92">
        <v>0</v>
      </c>
      <c r="L157" s="92">
        <v>0</v>
      </c>
      <c r="M157" s="92">
        <v>0</v>
      </c>
      <c r="N157" s="92">
        <v>0</v>
      </c>
      <c r="O157" s="92">
        <v>0</v>
      </c>
      <c r="P157" s="92">
        <v>0</v>
      </c>
      <c r="Q157" s="92">
        <v>0</v>
      </c>
      <c r="R157" s="96">
        <v>-200000</v>
      </c>
      <c r="S157" s="96">
        <v>-100000</v>
      </c>
      <c r="T157" s="92">
        <v>0</v>
      </c>
      <c r="U157" s="96">
        <v>-848200</v>
      </c>
      <c r="V157" s="96">
        <v>-150000</v>
      </c>
      <c r="W157" s="92">
        <v>0</v>
      </c>
      <c r="X157" s="92">
        <v>0</v>
      </c>
      <c r="Y157" s="96">
        <v>-300000</v>
      </c>
    </row>
    <row r="158" spans="1:30">
      <c r="A158" s="185" t="s">
        <v>648</v>
      </c>
      <c r="B158" s="92">
        <v>0</v>
      </c>
      <c r="C158" s="92">
        <v>0</v>
      </c>
      <c r="D158" s="92">
        <v>0</v>
      </c>
      <c r="E158" s="92">
        <v>0</v>
      </c>
      <c r="F158" s="92">
        <v>0</v>
      </c>
      <c r="G158" s="92">
        <v>0</v>
      </c>
      <c r="H158" s="96">
        <v>-262882</v>
      </c>
      <c r="I158" s="92">
        <v>0</v>
      </c>
      <c r="J158" s="92">
        <v>0</v>
      </c>
      <c r="K158" s="92">
        <v>0</v>
      </c>
      <c r="L158" s="96">
        <v>-543290</v>
      </c>
      <c r="M158" s="92">
        <v>0</v>
      </c>
      <c r="N158" s="92">
        <v>0</v>
      </c>
      <c r="O158" s="96">
        <v>-340680</v>
      </c>
      <c r="P158" s="96">
        <v>-9830</v>
      </c>
      <c r="Q158" s="92">
        <v>0</v>
      </c>
      <c r="R158" s="92">
        <v>0</v>
      </c>
      <c r="S158" s="92">
        <v>0</v>
      </c>
      <c r="T158" s="96">
        <v>-324182</v>
      </c>
      <c r="U158" s="96">
        <v>-8802</v>
      </c>
      <c r="V158" s="92">
        <v>0</v>
      </c>
      <c r="W158" s="92">
        <v>0</v>
      </c>
      <c r="X158" s="96">
        <v>-262882</v>
      </c>
      <c r="Y158" s="92">
        <v>0</v>
      </c>
    </row>
    <row r="159" spans="1:30">
      <c r="A159" s="131" t="s">
        <v>649</v>
      </c>
      <c r="B159" s="96">
        <v>-10</v>
      </c>
      <c r="C159" s="96">
        <v>-2277</v>
      </c>
      <c r="D159" s="96">
        <v>-3282</v>
      </c>
      <c r="E159" s="96">
        <v>-4</v>
      </c>
      <c r="F159" s="96">
        <v>-2</v>
      </c>
      <c r="G159" s="96">
        <v>-10883</v>
      </c>
      <c r="H159" s="96">
        <v>-1912</v>
      </c>
      <c r="I159" s="96">
        <v>-879</v>
      </c>
      <c r="J159" s="96">
        <v>-6</v>
      </c>
      <c r="K159" s="96">
        <v>-16013</v>
      </c>
      <c r="L159" s="96">
        <v>-416</v>
      </c>
      <c r="M159" s="144">
        <v>1</v>
      </c>
      <c r="N159" s="96">
        <v>-81</v>
      </c>
      <c r="O159" s="96">
        <v>-7155</v>
      </c>
      <c r="P159" s="96">
        <v>-835</v>
      </c>
      <c r="Q159" s="144">
        <v>24</v>
      </c>
      <c r="R159" s="96">
        <v>-32</v>
      </c>
      <c r="S159" s="96">
        <v>-958</v>
      </c>
      <c r="T159" s="96">
        <v>-262</v>
      </c>
      <c r="U159" s="144">
        <v>19</v>
      </c>
      <c r="V159" s="96">
        <v>-8</v>
      </c>
      <c r="W159" s="96">
        <v>-1813</v>
      </c>
      <c r="X159" s="96">
        <v>-848</v>
      </c>
      <c r="Y159" s="144">
        <v>39</v>
      </c>
    </row>
    <row r="160" spans="1:30">
      <c r="A160" s="131" t="s">
        <v>375</v>
      </c>
      <c r="B160" s="96">
        <v>-17396</v>
      </c>
      <c r="C160" s="96">
        <v>-37714</v>
      </c>
      <c r="D160" s="96">
        <v>-14084</v>
      </c>
      <c r="E160" s="96">
        <v>-46626</v>
      </c>
      <c r="F160" s="96">
        <v>-8468</v>
      </c>
      <c r="G160" s="96">
        <v>-19731</v>
      </c>
      <c r="H160" s="96">
        <v>-12060</v>
      </c>
      <c r="I160" s="96">
        <v>-12033</v>
      </c>
      <c r="J160" s="96">
        <v>-4839</v>
      </c>
      <c r="K160" s="96">
        <v>-102209</v>
      </c>
      <c r="L160" s="144">
        <v>11222</v>
      </c>
      <c r="M160" s="96">
        <v>-126263</v>
      </c>
      <c r="N160" s="96">
        <v>-8799</v>
      </c>
      <c r="O160" s="96">
        <v>-76963</v>
      </c>
      <c r="P160" s="96">
        <v>-17851</v>
      </c>
      <c r="Q160" s="96">
        <v>-125818</v>
      </c>
      <c r="R160" s="96">
        <v>-13933</v>
      </c>
      <c r="S160" s="96">
        <v>-123027</v>
      </c>
      <c r="T160" s="144">
        <v>491</v>
      </c>
      <c r="U160" s="96">
        <v>-136923</v>
      </c>
      <c r="V160" s="96">
        <v>-11710</v>
      </c>
      <c r="W160" s="96">
        <v>-123676</v>
      </c>
      <c r="X160" s="144">
        <v>9285</v>
      </c>
      <c r="Y160" s="96">
        <v>-150204</v>
      </c>
    </row>
    <row r="161" spans="1:29">
      <c r="A161" s="131" t="s">
        <v>650</v>
      </c>
      <c r="B161" s="92">
        <v>0</v>
      </c>
      <c r="C161" s="92">
        <v>0</v>
      </c>
      <c r="D161" s="92">
        <v>0</v>
      </c>
      <c r="E161" s="96">
        <v>-9863</v>
      </c>
      <c r="F161" s="96">
        <v>-24185</v>
      </c>
      <c r="G161" s="96">
        <v>-3007</v>
      </c>
      <c r="H161" s="96">
        <v>-7390</v>
      </c>
      <c r="I161" s="96">
        <v>-3218</v>
      </c>
      <c r="J161" s="96">
        <v>-36</v>
      </c>
      <c r="K161" s="96">
        <v>-4148</v>
      </c>
      <c r="L161" s="96">
        <v>-1726</v>
      </c>
      <c r="M161" s="96">
        <v>-625</v>
      </c>
      <c r="N161" s="96">
        <v>-732</v>
      </c>
      <c r="O161" s="96">
        <v>-620</v>
      </c>
      <c r="P161" s="96">
        <v>-436</v>
      </c>
      <c r="Q161" s="96">
        <v>-35233</v>
      </c>
      <c r="R161" s="96">
        <v>-104504</v>
      </c>
      <c r="S161" s="96">
        <v>-20723</v>
      </c>
      <c r="T161" s="96">
        <v>-101</v>
      </c>
      <c r="U161" s="96">
        <v>-74</v>
      </c>
      <c r="V161" s="96">
        <v>-26</v>
      </c>
      <c r="W161" s="96">
        <v>-114</v>
      </c>
      <c r="X161" s="96">
        <v>-448</v>
      </c>
      <c r="Y161" s="92">
        <v>0</v>
      </c>
    </row>
    <row r="162" spans="1:29">
      <c r="A162" s="131" t="s">
        <v>169</v>
      </c>
      <c r="B162" s="96">
        <v>-465</v>
      </c>
      <c r="C162" s="96">
        <v>-2964</v>
      </c>
      <c r="D162" s="96">
        <v>-965</v>
      </c>
      <c r="E162" s="96">
        <v>-3975</v>
      </c>
      <c r="F162" s="96">
        <v>-7624</v>
      </c>
      <c r="G162" s="96">
        <v>-31</v>
      </c>
      <c r="H162" s="144">
        <v>5</v>
      </c>
      <c r="I162" s="96">
        <v>-5404</v>
      </c>
      <c r="J162" s="96">
        <v>-1706</v>
      </c>
      <c r="K162" s="96">
        <v>-28</v>
      </c>
      <c r="L162" s="96">
        <v>-9028</v>
      </c>
      <c r="M162" s="144">
        <v>105870</v>
      </c>
      <c r="N162" s="144">
        <f>-3463+4478</f>
        <v>1015</v>
      </c>
      <c r="O162" s="144">
        <v>19950</v>
      </c>
      <c r="P162" s="144">
        <v>14420</v>
      </c>
      <c r="Q162" s="144">
        <v>75868</v>
      </c>
      <c r="R162" s="144">
        <v>20613</v>
      </c>
      <c r="S162" s="144">
        <v>18042</v>
      </c>
      <c r="T162" s="144">
        <v>1115</v>
      </c>
      <c r="U162" s="144">
        <v>14549</v>
      </c>
      <c r="V162" s="96">
        <f>2888-5361</f>
        <v>-2473</v>
      </c>
      <c r="W162" s="144">
        <v>4705</v>
      </c>
      <c r="X162" s="144">
        <v>2977</v>
      </c>
      <c r="Y162" s="144">
        <v>11515</v>
      </c>
    </row>
    <row r="163" spans="1:29" s="107" customFormat="1">
      <c r="A163" s="90" t="s">
        <v>651</v>
      </c>
      <c r="B163" s="176">
        <v>-72728</v>
      </c>
      <c r="C163" s="176">
        <v>-221523</v>
      </c>
      <c r="D163" s="176">
        <v>-126620</v>
      </c>
      <c r="E163" s="176">
        <v>-91993</v>
      </c>
      <c r="F163" s="176">
        <v>-141794</v>
      </c>
      <c r="G163" s="176">
        <v>-107447</v>
      </c>
      <c r="H163" s="176">
        <v>-439198</v>
      </c>
      <c r="I163" s="176">
        <v>3203203</v>
      </c>
      <c r="J163" s="176">
        <v>649358</v>
      </c>
      <c r="K163" s="176">
        <v>-183711</v>
      </c>
      <c r="L163" s="176">
        <v>-127166</v>
      </c>
      <c r="M163" s="176">
        <v>-148765</v>
      </c>
      <c r="N163" s="176">
        <v>429931</v>
      </c>
      <c r="O163" s="176">
        <v>-419959</v>
      </c>
      <c r="P163" s="176">
        <v>-47468</v>
      </c>
      <c r="Q163" s="176">
        <v>-180072</v>
      </c>
      <c r="R163" s="176">
        <v>466263</v>
      </c>
      <c r="S163" s="176">
        <v>-61392</v>
      </c>
      <c r="T163" s="176">
        <v>-157087</v>
      </c>
      <c r="U163" s="176">
        <v>1387965</v>
      </c>
      <c r="V163" s="176">
        <v>-191516</v>
      </c>
      <c r="W163" s="176">
        <v>-146054</v>
      </c>
      <c r="X163" s="176">
        <v>18117</v>
      </c>
      <c r="Y163" s="176">
        <v>-206239</v>
      </c>
      <c r="Z163" s="88"/>
      <c r="AA163" s="88"/>
      <c r="AB163" s="88"/>
      <c r="AC163" s="88"/>
    </row>
    <row r="164" spans="1:29" ht="26.25">
      <c r="A164" s="413" t="s">
        <v>652</v>
      </c>
      <c r="B164" s="96">
        <v>-260326</v>
      </c>
      <c r="C164" s="144">
        <v>323624</v>
      </c>
      <c r="D164" s="144">
        <v>351129</v>
      </c>
      <c r="E164" s="144">
        <v>84578</v>
      </c>
      <c r="F164" s="96">
        <v>-621833</v>
      </c>
      <c r="G164" s="144">
        <v>526273</v>
      </c>
      <c r="H164" s="96">
        <v>-491585</v>
      </c>
      <c r="I164" s="96">
        <v>-378699</v>
      </c>
      <c r="J164" s="144">
        <v>36232</v>
      </c>
      <c r="K164" s="144">
        <v>158242</v>
      </c>
      <c r="L164" s="144">
        <v>440235</v>
      </c>
      <c r="M164" s="96">
        <v>-248871</v>
      </c>
      <c r="N164" s="96">
        <v>-76447</v>
      </c>
      <c r="O164" s="144">
        <v>32601</v>
      </c>
      <c r="P164" s="144">
        <v>470953</v>
      </c>
      <c r="Q164" s="96">
        <v>-777613</v>
      </c>
      <c r="R164" s="96">
        <v>-332840</v>
      </c>
      <c r="S164" s="144">
        <v>23102</v>
      </c>
      <c r="T164" s="144">
        <v>57471</v>
      </c>
      <c r="U164" s="144">
        <v>1119190</v>
      </c>
      <c r="V164" s="96">
        <v>-397440</v>
      </c>
      <c r="W164" s="96">
        <v>-132331</v>
      </c>
      <c r="X164" s="144">
        <v>202064</v>
      </c>
      <c r="Y164" s="96">
        <v>-752649</v>
      </c>
    </row>
    <row r="165" spans="1:29">
      <c r="A165" s="131" t="s">
        <v>380</v>
      </c>
      <c r="B165" s="96">
        <v>-121</v>
      </c>
      <c r="C165" s="144">
        <v>178</v>
      </c>
      <c r="D165" s="96">
        <v>-87</v>
      </c>
      <c r="E165" s="96">
        <v>-104</v>
      </c>
      <c r="F165" s="144">
        <v>338</v>
      </c>
      <c r="G165" s="96">
        <v>-192</v>
      </c>
      <c r="H165" s="144">
        <v>87</v>
      </c>
      <c r="I165" s="96">
        <v>-236</v>
      </c>
      <c r="J165" s="96">
        <v>-303</v>
      </c>
      <c r="K165" s="144">
        <v>425</v>
      </c>
      <c r="L165" s="96">
        <v>-1115</v>
      </c>
      <c r="M165" s="96">
        <v>-382</v>
      </c>
      <c r="N165" s="96">
        <v>-720</v>
      </c>
      <c r="O165" s="96">
        <v>-125</v>
      </c>
      <c r="P165" s="96">
        <v>-563</v>
      </c>
      <c r="Q165" s="96">
        <v>-450</v>
      </c>
      <c r="R165" s="96">
        <v>-14</v>
      </c>
      <c r="S165" s="144">
        <v>74</v>
      </c>
      <c r="T165" s="144">
        <v>126</v>
      </c>
      <c r="U165" s="96">
        <v>-363</v>
      </c>
      <c r="V165" s="96">
        <v>-696</v>
      </c>
      <c r="W165" s="144">
        <v>1010</v>
      </c>
      <c r="X165" s="144">
        <v>260</v>
      </c>
      <c r="Y165" s="144">
        <v>595</v>
      </c>
    </row>
    <row r="166" spans="1:29">
      <c r="A166" s="92" t="s">
        <v>381</v>
      </c>
      <c r="B166" s="144">
        <v>972655</v>
      </c>
      <c r="C166" s="144">
        <v>712329</v>
      </c>
      <c r="D166" s="144">
        <v>1035953</v>
      </c>
      <c r="E166" s="144">
        <v>1387082</v>
      </c>
      <c r="F166" s="144">
        <v>1471660</v>
      </c>
      <c r="G166" s="144">
        <v>849827</v>
      </c>
      <c r="H166" s="144">
        <v>1376100</v>
      </c>
      <c r="I166" s="144">
        <v>884515</v>
      </c>
      <c r="J166" s="144">
        <v>505816</v>
      </c>
      <c r="K166" s="144">
        <v>542048</v>
      </c>
      <c r="L166" s="144">
        <v>700290</v>
      </c>
      <c r="M166" s="144">
        <v>1140525</v>
      </c>
      <c r="N166" s="144">
        <v>891654</v>
      </c>
      <c r="O166" s="144">
        <v>815207</v>
      </c>
      <c r="P166" s="144">
        <v>847808</v>
      </c>
      <c r="Q166" s="144">
        <v>1318761</v>
      </c>
      <c r="R166" s="144">
        <v>541148</v>
      </c>
      <c r="S166" s="144">
        <v>208308</v>
      </c>
      <c r="T166" s="144">
        <v>231410</v>
      </c>
      <c r="U166" s="144">
        <v>288881</v>
      </c>
      <c r="V166" s="144">
        <v>1408071</v>
      </c>
      <c r="W166" s="144">
        <v>1010631</v>
      </c>
      <c r="X166" s="144">
        <v>878300</v>
      </c>
      <c r="Y166" s="144">
        <v>1080364</v>
      </c>
    </row>
    <row r="167" spans="1:29">
      <c r="A167" s="92" t="s">
        <v>653</v>
      </c>
      <c r="B167" s="144">
        <v>712329</v>
      </c>
      <c r="C167" s="144">
        <v>1035953</v>
      </c>
      <c r="D167" s="144">
        <v>1387082</v>
      </c>
      <c r="E167" s="144">
        <v>1471660</v>
      </c>
      <c r="F167" s="144">
        <v>849827</v>
      </c>
      <c r="G167" s="144">
        <v>1376100</v>
      </c>
      <c r="H167" s="144">
        <v>884515</v>
      </c>
      <c r="I167" s="144">
        <v>505816</v>
      </c>
      <c r="J167" s="144">
        <v>542048</v>
      </c>
      <c r="K167" s="144">
        <v>700290</v>
      </c>
      <c r="L167" s="144">
        <v>1140525</v>
      </c>
      <c r="M167" s="144">
        <v>891654</v>
      </c>
      <c r="N167" s="144">
        <v>815207</v>
      </c>
      <c r="O167" s="144">
        <v>847808</v>
      </c>
      <c r="P167" s="144">
        <v>1318761</v>
      </c>
      <c r="Q167" s="144">
        <v>541148</v>
      </c>
      <c r="R167" s="144">
        <v>208308</v>
      </c>
      <c r="S167" s="144">
        <v>231410</v>
      </c>
      <c r="T167" s="144">
        <v>288881</v>
      </c>
      <c r="U167" s="144">
        <v>1408071</v>
      </c>
      <c r="V167" s="144">
        <v>1010631</v>
      </c>
      <c r="W167" s="144">
        <v>878300</v>
      </c>
      <c r="X167" s="144">
        <v>1080364</v>
      </c>
      <c r="Y167" s="144">
        <v>327715</v>
      </c>
    </row>
    <row r="168" spans="1:29" s="107" customFormat="1">
      <c r="A168" s="162" t="s">
        <v>383</v>
      </c>
      <c r="B168" s="182">
        <v>18399</v>
      </c>
      <c r="C168" s="182">
        <v>27374</v>
      </c>
      <c r="D168" s="182">
        <v>52978</v>
      </c>
      <c r="E168" s="182">
        <v>165862</v>
      </c>
      <c r="F168" s="182">
        <v>87164</v>
      </c>
      <c r="G168" s="182">
        <v>69123</v>
      </c>
      <c r="H168" s="182">
        <v>96679</v>
      </c>
      <c r="I168" s="182">
        <v>176241</v>
      </c>
      <c r="J168" s="182">
        <v>252481</v>
      </c>
      <c r="K168" s="182">
        <v>215496</v>
      </c>
      <c r="L168" s="182">
        <v>212072</v>
      </c>
      <c r="M168" s="182">
        <v>290063</v>
      </c>
      <c r="N168" s="182">
        <v>490815</v>
      </c>
      <c r="O168" s="182">
        <v>273729</v>
      </c>
      <c r="P168" s="182">
        <v>130522</v>
      </c>
      <c r="Q168" s="182">
        <v>121129</v>
      </c>
      <c r="R168" s="182">
        <v>111047</v>
      </c>
      <c r="S168" s="182">
        <v>43359</v>
      </c>
      <c r="T168" s="182">
        <v>113077</v>
      </c>
      <c r="U168" s="182">
        <v>116568</v>
      </c>
      <c r="V168" s="182">
        <v>180223</v>
      </c>
      <c r="W168" s="182">
        <v>164421</v>
      </c>
      <c r="X168" s="182">
        <v>192798</v>
      </c>
      <c r="Y168" s="182">
        <v>206254</v>
      </c>
      <c r="Z168" s="88"/>
      <c r="AA168" s="88"/>
      <c r="AB168" s="88"/>
      <c r="AC168" s="88"/>
    </row>
    <row r="169" spans="1:29">
      <c r="V169" s="187"/>
      <c r="W169" s="187"/>
      <c r="X169" s="187"/>
    </row>
    <row r="170" spans="1:29" ht="29.1" customHeight="1">
      <c r="A170" s="465" t="s">
        <v>55</v>
      </c>
      <c r="B170" s="697" t="s">
        <v>654</v>
      </c>
      <c r="C170" s="698"/>
      <c r="D170" s="698"/>
      <c r="E170" s="698"/>
      <c r="F170" s="698"/>
      <c r="G170" s="698"/>
      <c r="H170" s="698"/>
      <c r="I170" s="698"/>
      <c r="J170" s="698"/>
      <c r="K170" s="698"/>
      <c r="L170" s="697" t="s">
        <v>655</v>
      </c>
      <c r="M170" s="698"/>
      <c r="N170" s="698"/>
      <c r="O170" s="698"/>
      <c r="P170" s="698"/>
      <c r="Q170" s="698"/>
    </row>
    <row r="171" spans="1:29" ht="28.5" customHeight="1">
      <c r="A171" s="465" t="s">
        <v>69</v>
      </c>
      <c r="B171" s="697" t="s">
        <v>656</v>
      </c>
      <c r="C171" s="698"/>
      <c r="D171" s="698"/>
      <c r="E171" s="698"/>
      <c r="F171" s="698"/>
      <c r="G171" s="698"/>
      <c r="H171" s="698"/>
      <c r="I171" s="698"/>
      <c r="J171" s="698"/>
      <c r="K171" s="698"/>
      <c r="L171" s="697" t="s">
        <v>656</v>
      </c>
      <c r="M171" s="698"/>
      <c r="N171" s="698"/>
      <c r="O171" s="698"/>
      <c r="P171" s="698"/>
      <c r="Q171" s="698"/>
      <c r="R171" s="145"/>
      <c r="S171" s="145"/>
    </row>
    <row r="172" spans="1:29" ht="27.95" customHeight="1">
      <c r="A172" s="465" t="s">
        <v>90</v>
      </c>
      <c r="B172" s="697" t="s">
        <v>657</v>
      </c>
      <c r="C172" s="698"/>
      <c r="D172" s="698"/>
      <c r="E172" s="698"/>
      <c r="F172" s="698"/>
      <c r="G172" s="698"/>
      <c r="H172" s="698"/>
      <c r="I172" s="698"/>
      <c r="J172" s="698"/>
      <c r="K172" s="698"/>
      <c r="L172" s="697" t="s">
        <v>658</v>
      </c>
      <c r="M172" s="698"/>
      <c r="N172" s="698"/>
      <c r="O172" s="698"/>
      <c r="P172" s="698"/>
      <c r="Q172" s="698"/>
      <c r="R172" s="145"/>
      <c r="S172" s="145"/>
    </row>
    <row r="173" spans="1:29" ht="29.1" customHeight="1">
      <c r="A173" s="465" t="s">
        <v>91</v>
      </c>
      <c r="B173" s="697" t="s">
        <v>659</v>
      </c>
      <c r="C173" s="698"/>
      <c r="D173" s="698"/>
      <c r="E173" s="698"/>
      <c r="F173" s="698"/>
      <c r="G173" s="698"/>
      <c r="H173" s="698"/>
      <c r="I173" s="698"/>
      <c r="J173" s="698"/>
      <c r="K173" s="698"/>
      <c r="L173" s="697" t="s">
        <v>660</v>
      </c>
      <c r="M173" s="698"/>
      <c r="N173" s="698"/>
      <c r="O173" s="698"/>
      <c r="P173" s="698"/>
      <c r="Q173" s="698"/>
    </row>
    <row r="174" spans="1:29" ht="29.1" customHeight="1">
      <c r="A174" s="465" t="s">
        <v>104</v>
      </c>
      <c r="B174" s="697" t="s">
        <v>661</v>
      </c>
      <c r="C174" s="698"/>
      <c r="D174" s="698"/>
      <c r="E174" s="698"/>
      <c r="F174" s="698"/>
      <c r="G174" s="698"/>
      <c r="H174" s="698"/>
      <c r="I174" s="698"/>
      <c r="J174" s="698"/>
      <c r="K174" s="698"/>
    </row>
    <row r="175" spans="1:29" ht="28.5" customHeight="1">
      <c r="A175" s="465" t="s">
        <v>120</v>
      </c>
      <c r="B175" s="697" t="s">
        <v>662</v>
      </c>
      <c r="C175" s="698"/>
      <c r="D175" s="698"/>
      <c r="E175" s="698"/>
      <c r="F175" s="698"/>
      <c r="G175" s="698"/>
      <c r="H175" s="698"/>
      <c r="I175" s="698"/>
      <c r="J175" s="698"/>
      <c r="K175" s="698"/>
    </row>
    <row r="176" spans="1:29" ht="55.5" customHeight="1">
      <c r="A176" s="467" t="s">
        <v>663</v>
      </c>
      <c r="B176" s="697" t="s">
        <v>928</v>
      </c>
      <c r="C176" s="698"/>
      <c r="D176" s="698"/>
      <c r="E176" s="698"/>
      <c r="F176" s="698"/>
      <c r="G176" s="698"/>
      <c r="H176" s="698"/>
      <c r="I176" s="698"/>
      <c r="J176" s="698"/>
      <c r="K176" s="698"/>
    </row>
    <row r="177" spans="1:42" ht="28.5" customHeight="1">
      <c r="A177" s="467" t="s">
        <v>664</v>
      </c>
      <c r="B177" s="697" t="s">
        <v>665</v>
      </c>
      <c r="C177" s="698"/>
      <c r="D177" s="698"/>
      <c r="E177" s="698"/>
      <c r="F177" s="698"/>
      <c r="G177" s="698"/>
      <c r="H177" s="698"/>
      <c r="I177" s="698"/>
      <c r="J177" s="698"/>
      <c r="K177" s="698"/>
    </row>
    <row r="179" spans="1:42" ht="20.25">
      <c r="A179" s="699" t="s">
        <v>354</v>
      </c>
      <c r="B179" s="673"/>
      <c r="C179" s="673"/>
      <c r="D179" s="673"/>
      <c r="E179" s="673"/>
      <c r="F179" s="673"/>
      <c r="G179" s="673"/>
      <c r="H179" s="673"/>
      <c r="I179" s="673"/>
      <c r="J179" s="673"/>
      <c r="K179" s="673"/>
      <c r="L179" s="673"/>
      <c r="M179" s="673"/>
      <c r="N179" s="673"/>
      <c r="O179" s="673"/>
      <c r="P179" s="673"/>
      <c r="Q179" s="673"/>
      <c r="R179" s="673"/>
      <c r="S179" s="673"/>
      <c r="T179" s="673"/>
      <c r="U179" s="673"/>
      <c r="V179" s="673"/>
      <c r="W179" s="673"/>
      <c r="X179" s="673"/>
      <c r="Y179" s="673"/>
      <c r="Z179" s="262"/>
      <c r="AA179" s="262"/>
      <c r="AB179" s="262"/>
      <c r="AC179" s="262"/>
      <c r="AD179" s="262"/>
      <c r="AE179" s="262"/>
      <c r="AF179" s="138"/>
      <c r="AG179" s="138"/>
      <c r="AH179" s="138"/>
      <c r="AI179" s="138"/>
      <c r="AJ179" s="138"/>
      <c r="AK179" s="138"/>
      <c r="AL179" s="138"/>
      <c r="AM179" s="138"/>
    </row>
    <row r="180" spans="1:42" ht="63.75">
      <c r="A180" s="700" t="s">
        <v>484</v>
      </c>
      <c r="B180" s="673"/>
      <c r="C180" s="673"/>
      <c r="D180" s="673"/>
      <c r="E180" s="673"/>
      <c r="F180" s="673"/>
      <c r="G180" s="673"/>
      <c r="H180" s="673"/>
      <c r="I180" s="673"/>
      <c r="J180" s="673"/>
      <c r="K180" s="673"/>
      <c r="L180" s="673"/>
      <c r="M180" s="673"/>
      <c r="N180" s="673"/>
      <c r="O180" s="673"/>
      <c r="P180" s="673"/>
      <c r="Q180" s="673"/>
      <c r="R180" s="673"/>
      <c r="S180" s="673"/>
      <c r="T180" s="673"/>
      <c r="U180" s="673"/>
      <c r="V180" s="673"/>
      <c r="W180" s="673"/>
      <c r="X180" s="673"/>
      <c r="Y180" s="701"/>
      <c r="Z180" s="268" t="s">
        <v>666</v>
      </c>
      <c r="AA180" s="268" t="s">
        <v>667</v>
      </c>
      <c r="AB180" s="268" t="s">
        <v>668</v>
      </c>
      <c r="AC180" s="468" t="s">
        <v>669</v>
      </c>
      <c r="AD180" s="469" t="s">
        <v>670</v>
      </c>
      <c r="AE180" s="468" t="s">
        <v>671</v>
      </c>
      <c r="AF180" s="89" t="s">
        <v>672</v>
      </c>
      <c r="AG180" s="89" t="s">
        <v>673</v>
      </c>
      <c r="AH180" s="89" t="s">
        <v>958</v>
      </c>
      <c r="AI180" s="469" t="s">
        <v>824</v>
      </c>
      <c r="AJ180" s="89" t="s">
        <v>890</v>
      </c>
      <c r="AK180" s="89" t="s">
        <v>927</v>
      </c>
      <c r="AL180" s="89" t="s">
        <v>952</v>
      </c>
      <c r="AM180" s="89" t="s">
        <v>981</v>
      </c>
    </row>
    <row r="181" spans="1:42" s="177" customFormat="1">
      <c r="A181" s="702" t="s">
        <v>355</v>
      </c>
      <c r="B181" s="703"/>
      <c r="C181" s="703"/>
      <c r="D181" s="703"/>
      <c r="E181" s="703"/>
      <c r="F181" s="703"/>
      <c r="G181" s="703"/>
      <c r="H181" s="703"/>
      <c r="I181" s="703"/>
      <c r="J181" s="703"/>
      <c r="K181" s="703"/>
      <c r="L181" s="703"/>
      <c r="M181" s="703"/>
      <c r="N181" s="703"/>
      <c r="O181" s="703"/>
      <c r="P181" s="703"/>
      <c r="Q181" s="703"/>
      <c r="R181" s="703"/>
      <c r="S181" s="703"/>
      <c r="T181" s="703"/>
      <c r="U181" s="703"/>
      <c r="V181" s="703"/>
      <c r="W181" s="703"/>
      <c r="X181" s="703"/>
      <c r="Y181" s="704"/>
      <c r="Z181" s="176"/>
    </row>
    <row r="182" spans="1:42">
      <c r="A182" s="705" t="s">
        <v>674</v>
      </c>
      <c r="B182" s="673"/>
      <c r="C182" s="673"/>
      <c r="D182" s="673"/>
      <c r="E182" s="673"/>
      <c r="F182" s="673"/>
      <c r="G182" s="673"/>
      <c r="H182" s="673"/>
      <c r="I182" s="673"/>
      <c r="J182" s="673"/>
      <c r="K182" s="673"/>
      <c r="L182" s="673"/>
      <c r="M182" s="673"/>
      <c r="N182" s="673"/>
      <c r="O182" s="673"/>
      <c r="P182" s="673"/>
      <c r="Q182" s="673"/>
      <c r="R182" s="673"/>
      <c r="S182" s="673"/>
      <c r="T182" s="673"/>
      <c r="U182" s="673"/>
      <c r="V182" s="673"/>
      <c r="W182" s="673"/>
      <c r="X182" s="673"/>
      <c r="Y182" s="701"/>
      <c r="Z182" s="123">
        <v>411595</v>
      </c>
      <c r="AA182" s="123">
        <v>-378920</v>
      </c>
      <c r="AB182" s="123">
        <v>337111</v>
      </c>
      <c r="AC182" s="123">
        <v>139075</v>
      </c>
      <c r="AD182" s="145">
        <v>819107</v>
      </c>
      <c r="AE182" s="145">
        <v>421485</v>
      </c>
      <c r="AF182" s="145">
        <v>241063</v>
      </c>
      <c r="AG182" s="145">
        <v>275997</v>
      </c>
      <c r="AH182" s="145">
        <v>791098</v>
      </c>
      <c r="AI182" s="145">
        <v>-65731</v>
      </c>
      <c r="AJ182" s="145">
        <v>362828</v>
      </c>
      <c r="AK182" s="145">
        <v>-583548</v>
      </c>
      <c r="AL182" s="145">
        <v>654212</v>
      </c>
      <c r="AM182" s="145">
        <v>221015</v>
      </c>
      <c r="AN182" s="145"/>
      <c r="AO182" s="145"/>
      <c r="AP182" s="145"/>
    </row>
    <row r="183" spans="1:42">
      <c r="A183" s="694" t="s">
        <v>675</v>
      </c>
      <c r="B183" s="695"/>
      <c r="C183" s="695"/>
      <c r="D183" s="695"/>
      <c r="E183" s="695"/>
      <c r="F183" s="695"/>
      <c r="G183" s="695"/>
      <c r="H183" s="695"/>
      <c r="I183" s="695"/>
      <c r="J183" s="695"/>
      <c r="K183" s="695"/>
      <c r="L183" s="695"/>
      <c r="M183" s="695"/>
      <c r="N183" s="695"/>
      <c r="O183" s="695"/>
      <c r="P183" s="695"/>
      <c r="Q183" s="695"/>
      <c r="R183" s="695"/>
      <c r="S183" s="695"/>
      <c r="T183" s="695"/>
      <c r="U183" s="695"/>
      <c r="V183" s="695"/>
      <c r="W183" s="695"/>
      <c r="X183" s="695"/>
      <c r="Y183" s="696"/>
      <c r="Z183" s="96">
        <v>-23035</v>
      </c>
      <c r="AA183" s="96">
        <v>-36826</v>
      </c>
      <c r="AB183" s="96">
        <v>-18477</v>
      </c>
      <c r="AC183" s="96">
        <v>18298</v>
      </c>
      <c r="AD183" s="145">
        <v>-37241</v>
      </c>
      <c r="AE183" s="145">
        <v>-21089</v>
      </c>
      <c r="AF183" s="145">
        <v>-11205</v>
      </c>
      <c r="AG183" s="145">
        <v>-3515</v>
      </c>
      <c r="AH183" s="145">
        <v>-25242</v>
      </c>
      <c r="AI183" s="145">
        <v>-20200</v>
      </c>
      <c r="AJ183" s="145">
        <v>4779</v>
      </c>
      <c r="AK183" s="145">
        <v>-14227</v>
      </c>
      <c r="AL183" s="145">
        <v>-42823</v>
      </c>
      <c r="AM183" s="145">
        <v>-7202</v>
      </c>
      <c r="AN183" s="145"/>
      <c r="AO183" s="145"/>
      <c r="AP183" s="145"/>
    </row>
    <row r="184" spans="1:42">
      <c r="A184" s="694" t="s">
        <v>676</v>
      </c>
      <c r="B184" s="695"/>
      <c r="C184" s="695"/>
      <c r="D184" s="695"/>
      <c r="E184" s="695"/>
      <c r="F184" s="695"/>
      <c r="G184" s="695"/>
      <c r="H184" s="695"/>
      <c r="I184" s="695"/>
      <c r="J184" s="695"/>
      <c r="K184" s="695"/>
      <c r="L184" s="695"/>
      <c r="M184" s="695"/>
      <c r="N184" s="695"/>
      <c r="O184" s="695"/>
      <c r="P184" s="695"/>
      <c r="Q184" s="695"/>
      <c r="R184" s="695"/>
      <c r="S184" s="695"/>
      <c r="T184" s="695"/>
      <c r="U184" s="695"/>
      <c r="V184" s="695"/>
      <c r="W184" s="695"/>
      <c r="X184" s="695"/>
      <c r="Y184" s="696"/>
      <c r="Z184" s="96">
        <v>413618</v>
      </c>
      <c r="AA184" s="96">
        <v>407754</v>
      </c>
      <c r="AB184" s="96">
        <v>423879</v>
      </c>
      <c r="AC184" s="96">
        <v>423475</v>
      </c>
      <c r="AD184" s="145">
        <v>410270</v>
      </c>
      <c r="AE184" s="145">
        <v>416408</v>
      </c>
      <c r="AF184" s="145">
        <v>429461</v>
      </c>
      <c r="AG184" s="145">
        <v>437329</v>
      </c>
      <c r="AH184" s="145">
        <v>456351</v>
      </c>
      <c r="AI184" s="145">
        <v>432660</v>
      </c>
      <c r="AJ184" s="145">
        <v>426800</v>
      </c>
      <c r="AK184" s="145">
        <v>439385</v>
      </c>
      <c r="AL184" s="145">
        <v>483972</v>
      </c>
      <c r="AM184" s="145">
        <v>467365</v>
      </c>
      <c r="AN184" s="145"/>
      <c r="AO184" s="145"/>
      <c r="AP184" s="145"/>
    </row>
    <row r="185" spans="1:42" ht="26.25">
      <c r="A185" s="417" t="s">
        <v>677</v>
      </c>
      <c r="B185" s="470"/>
      <c r="C185" s="570"/>
      <c r="D185" s="570"/>
      <c r="E185" s="570"/>
      <c r="F185" s="570"/>
      <c r="G185" s="570"/>
      <c r="H185" s="570"/>
      <c r="I185" s="570"/>
      <c r="J185" s="470"/>
      <c r="K185" s="570"/>
      <c r="L185" s="570"/>
      <c r="M185" s="570"/>
      <c r="N185" s="570"/>
      <c r="O185" s="570"/>
      <c r="P185" s="470"/>
      <c r="Q185" s="570"/>
      <c r="R185" s="570"/>
      <c r="S185" s="570"/>
      <c r="T185" s="570"/>
      <c r="U185" s="570"/>
      <c r="V185" s="570"/>
      <c r="W185" s="570"/>
      <c r="X185" s="570"/>
      <c r="Y185" s="578"/>
      <c r="Z185" s="96">
        <v>-3364</v>
      </c>
      <c r="AA185" s="96">
        <v>702434</v>
      </c>
      <c r="AB185" s="96">
        <v>-9246</v>
      </c>
      <c r="AC185" s="96">
        <v>177285</v>
      </c>
      <c r="AD185" s="145">
        <v>4373</v>
      </c>
      <c r="AE185" s="145">
        <v>28754</v>
      </c>
      <c r="AF185" s="145">
        <v>9058</v>
      </c>
      <c r="AG185" s="145">
        <v>3419</v>
      </c>
      <c r="AH185" s="145">
        <v>-5911</v>
      </c>
      <c r="AI185" s="145">
        <v>389760</v>
      </c>
      <c r="AJ185" s="232">
        <v>0</v>
      </c>
      <c r="AK185" s="145">
        <v>478360</v>
      </c>
      <c r="AL185" s="145">
        <v>-249</v>
      </c>
      <c r="AM185" s="145">
        <v>267767</v>
      </c>
      <c r="AN185" s="145"/>
      <c r="AO185" s="145"/>
      <c r="AP185" s="145"/>
    </row>
    <row r="186" spans="1:42">
      <c r="A186" s="694" t="s">
        <v>678</v>
      </c>
      <c r="B186" s="695"/>
      <c r="C186" s="695"/>
      <c r="D186" s="695"/>
      <c r="E186" s="695"/>
      <c r="F186" s="695"/>
      <c r="G186" s="695"/>
      <c r="H186" s="695"/>
      <c r="I186" s="695"/>
      <c r="J186" s="695"/>
      <c r="K186" s="695"/>
      <c r="L186" s="695"/>
      <c r="M186" s="695"/>
      <c r="N186" s="695"/>
      <c r="O186" s="695"/>
      <c r="P186" s="695"/>
      <c r="Q186" s="695"/>
      <c r="R186" s="695"/>
      <c r="S186" s="695"/>
      <c r="T186" s="695"/>
      <c r="U186" s="695"/>
      <c r="V186" s="695"/>
      <c r="W186" s="695"/>
      <c r="X186" s="695"/>
      <c r="Y186" s="696"/>
      <c r="Z186" s="96">
        <v>64254</v>
      </c>
      <c r="AA186" s="96">
        <v>62132</v>
      </c>
      <c r="AB186" s="96">
        <v>60686</v>
      </c>
      <c r="AC186" s="96">
        <v>62647</v>
      </c>
      <c r="AD186" s="145">
        <v>48142</v>
      </c>
      <c r="AE186" s="145">
        <v>51234</v>
      </c>
      <c r="AF186" s="145">
        <v>50692</v>
      </c>
      <c r="AG186" s="145">
        <v>53585</v>
      </c>
      <c r="AH186" s="145">
        <v>36397</v>
      </c>
      <c r="AI186" s="145">
        <v>53973</v>
      </c>
      <c r="AJ186" s="145">
        <v>29682</v>
      </c>
      <c r="AK186" s="145">
        <v>25084</v>
      </c>
      <c r="AL186" s="145">
        <v>53470</v>
      </c>
      <c r="AM186" s="145">
        <v>62643</v>
      </c>
      <c r="AN186" s="145"/>
      <c r="AO186" s="145"/>
      <c r="AP186" s="145"/>
    </row>
    <row r="187" spans="1:42">
      <c r="A187" s="694" t="s">
        <v>679</v>
      </c>
      <c r="B187" s="695"/>
      <c r="C187" s="695"/>
      <c r="D187" s="695"/>
      <c r="E187" s="695"/>
      <c r="F187" s="695"/>
      <c r="G187" s="695"/>
      <c r="H187" s="695"/>
      <c r="I187" s="695"/>
      <c r="J187" s="695"/>
      <c r="K187" s="695"/>
      <c r="L187" s="695"/>
      <c r="M187" s="695"/>
      <c r="N187" s="695"/>
      <c r="O187" s="695"/>
      <c r="P187" s="695"/>
      <c r="Q187" s="695"/>
      <c r="R187" s="695"/>
      <c r="S187" s="695"/>
      <c r="T187" s="695"/>
      <c r="U187" s="695"/>
      <c r="V187" s="695"/>
      <c r="W187" s="695"/>
      <c r="X187" s="695"/>
      <c r="Y187" s="696"/>
      <c r="Z187" s="96">
        <v>-14018</v>
      </c>
      <c r="AA187" s="96">
        <v>24148</v>
      </c>
      <c r="AB187" s="96">
        <v>-16099</v>
      </c>
      <c r="AC187" s="96">
        <v>3266</v>
      </c>
      <c r="AD187" s="145">
        <f>-63077-4373</f>
        <v>-67450</v>
      </c>
      <c r="AE187" s="145">
        <v>3842</v>
      </c>
      <c r="AF187" s="145">
        <v>61434</v>
      </c>
      <c r="AG187" s="145">
        <v>-135720</v>
      </c>
      <c r="AH187" s="145">
        <v>39244</v>
      </c>
      <c r="AI187" s="145">
        <v>85003</v>
      </c>
      <c r="AJ187" s="145">
        <v>-52135</v>
      </c>
      <c r="AK187" s="145">
        <v>30495</v>
      </c>
      <c r="AL187" s="145">
        <v>16754</v>
      </c>
      <c r="AM187" s="145">
        <v>-60780</v>
      </c>
      <c r="AN187" s="145"/>
      <c r="AO187" s="145"/>
      <c r="AP187" s="145"/>
    </row>
    <row r="188" spans="1:42">
      <c r="A188" s="694" t="s">
        <v>362</v>
      </c>
      <c r="B188" s="695"/>
      <c r="C188" s="695"/>
      <c r="D188" s="695"/>
      <c r="E188" s="695"/>
      <c r="F188" s="695"/>
      <c r="G188" s="695"/>
      <c r="H188" s="695"/>
      <c r="I188" s="695"/>
      <c r="J188" s="695"/>
      <c r="K188" s="695"/>
      <c r="L188" s="695"/>
      <c r="M188" s="695"/>
      <c r="N188" s="695"/>
      <c r="O188" s="695"/>
      <c r="P188" s="695"/>
      <c r="Q188" s="695"/>
      <c r="R188" s="695"/>
      <c r="S188" s="695"/>
      <c r="T188" s="695"/>
      <c r="U188" s="695"/>
      <c r="V188" s="695"/>
      <c r="W188" s="695"/>
      <c r="X188" s="695"/>
      <c r="Y188" s="696"/>
      <c r="Z188" s="96">
        <v>-164810</v>
      </c>
      <c r="AA188" s="96">
        <v>171596</v>
      </c>
      <c r="AB188" s="96">
        <v>268620</v>
      </c>
      <c r="AC188" s="96">
        <v>-48071</v>
      </c>
      <c r="AD188" s="145">
        <v>-260214</v>
      </c>
      <c r="AE188" s="145">
        <v>191489</v>
      </c>
      <c r="AF188" s="145">
        <v>214477</v>
      </c>
      <c r="AG188" s="145">
        <v>66699</v>
      </c>
      <c r="AH188" s="145">
        <v>-568830</v>
      </c>
      <c r="AI188" s="145">
        <v>-162867</v>
      </c>
      <c r="AJ188" s="145">
        <v>378579</v>
      </c>
      <c r="AK188" s="145">
        <v>-475054</v>
      </c>
      <c r="AL188" s="145">
        <v>-1147864</v>
      </c>
      <c r="AM188" s="145">
        <v>405383</v>
      </c>
      <c r="AN188" s="145"/>
      <c r="AO188" s="145"/>
      <c r="AP188" s="145"/>
    </row>
    <row r="189" spans="1:42">
      <c r="A189" s="694" t="s">
        <v>363</v>
      </c>
      <c r="B189" s="695"/>
      <c r="C189" s="695"/>
      <c r="D189" s="695"/>
      <c r="E189" s="695"/>
      <c r="F189" s="695"/>
      <c r="G189" s="695"/>
      <c r="H189" s="695"/>
      <c r="I189" s="695"/>
      <c r="J189" s="695"/>
      <c r="K189" s="695"/>
      <c r="L189" s="695"/>
      <c r="M189" s="695"/>
      <c r="N189" s="695"/>
      <c r="O189" s="695"/>
      <c r="P189" s="695"/>
      <c r="Q189" s="695"/>
      <c r="R189" s="695"/>
      <c r="S189" s="695"/>
      <c r="T189" s="695"/>
      <c r="U189" s="695"/>
      <c r="V189" s="695"/>
      <c r="W189" s="695"/>
      <c r="X189" s="695"/>
      <c r="Y189" s="696"/>
      <c r="Z189" s="96">
        <v>-218706</v>
      </c>
      <c r="AA189" s="96">
        <v>-681</v>
      </c>
      <c r="AB189" s="96">
        <v>-58291</v>
      </c>
      <c r="AC189" s="96">
        <v>-117114</v>
      </c>
      <c r="AD189" s="145">
        <v>-41284</v>
      </c>
      <c r="AE189" s="145">
        <v>-60061</v>
      </c>
      <c r="AF189" s="145">
        <v>18746</v>
      </c>
      <c r="AG189" s="145">
        <v>-60618</v>
      </c>
      <c r="AH189" s="145">
        <v>-22064</v>
      </c>
      <c r="AI189" s="145">
        <v>-198318</v>
      </c>
      <c r="AJ189" s="145">
        <v>-1780</v>
      </c>
      <c r="AK189" s="145">
        <v>-170022</v>
      </c>
      <c r="AL189" s="145">
        <v>-185801</v>
      </c>
      <c r="AM189" s="145">
        <v>-137732</v>
      </c>
      <c r="AN189" s="145"/>
      <c r="AO189" s="145"/>
      <c r="AP189" s="145"/>
    </row>
    <row r="190" spans="1:42" s="177" customFormat="1">
      <c r="A190" s="702" t="s">
        <v>633</v>
      </c>
      <c r="B190" s="703"/>
      <c r="C190" s="703"/>
      <c r="D190" s="703"/>
      <c r="E190" s="703"/>
      <c r="F190" s="703"/>
      <c r="G190" s="703"/>
      <c r="H190" s="703"/>
      <c r="I190" s="703"/>
      <c r="J190" s="703"/>
      <c r="K190" s="703"/>
      <c r="L190" s="703"/>
      <c r="M190" s="703"/>
      <c r="N190" s="703"/>
      <c r="O190" s="703"/>
      <c r="P190" s="703"/>
      <c r="Q190" s="703"/>
      <c r="R190" s="703"/>
      <c r="S190" s="703"/>
      <c r="T190" s="703"/>
      <c r="U190" s="703"/>
      <c r="V190" s="703"/>
      <c r="W190" s="703"/>
      <c r="X190" s="703"/>
      <c r="Y190" s="704"/>
      <c r="Z190" s="175">
        <v>465534</v>
      </c>
      <c r="AA190" s="175">
        <v>951637</v>
      </c>
      <c r="AB190" s="175">
        <v>988183</v>
      </c>
      <c r="AC190" s="175">
        <v>658861</v>
      </c>
      <c r="AD190" s="269">
        <v>875703</v>
      </c>
      <c r="AE190" s="269">
        <v>1032062</v>
      </c>
      <c r="AF190" s="269">
        <v>1013726</v>
      </c>
      <c r="AG190" s="269">
        <v>637176</v>
      </c>
      <c r="AH190" s="269">
        <v>701043</v>
      </c>
      <c r="AI190" s="269">
        <v>514280</v>
      </c>
      <c r="AJ190" s="269">
        <v>1148753</v>
      </c>
      <c r="AK190" s="269">
        <v>-269527</v>
      </c>
      <c r="AL190" s="269">
        <v>-168329</v>
      </c>
      <c r="AM190" s="269">
        <v>1218459</v>
      </c>
      <c r="AN190" s="145"/>
      <c r="AO190" s="145"/>
      <c r="AP190" s="145"/>
    </row>
    <row r="191" spans="1:42">
      <c r="A191" s="472" t="s">
        <v>365</v>
      </c>
      <c r="B191" s="574"/>
      <c r="C191" s="574"/>
      <c r="D191" s="574"/>
      <c r="E191" s="574"/>
      <c r="F191" s="574"/>
      <c r="G191" s="574"/>
      <c r="H191" s="574"/>
      <c r="I191" s="574"/>
      <c r="J191" s="574"/>
      <c r="K191" s="574"/>
      <c r="L191" s="574"/>
      <c r="M191" s="574"/>
      <c r="N191" s="574"/>
      <c r="O191" s="574"/>
      <c r="P191" s="574"/>
      <c r="Q191" s="574"/>
      <c r="R191" s="574"/>
      <c r="S191" s="574"/>
      <c r="T191" s="574"/>
      <c r="U191" s="574"/>
      <c r="V191" s="574"/>
      <c r="W191" s="574"/>
      <c r="X191" s="574"/>
      <c r="Y191" s="563"/>
      <c r="AD191" s="145"/>
      <c r="AE191" s="145"/>
      <c r="AF191" s="145"/>
      <c r="AP191" s="145"/>
    </row>
    <row r="192" spans="1:42" ht="26.25">
      <c r="A192" s="473" t="s">
        <v>680</v>
      </c>
      <c r="B192" s="571"/>
      <c r="C192" s="571"/>
      <c r="D192" s="571"/>
      <c r="E192" s="571"/>
      <c r="F192" s="571"/>
      <c r="G192" s="571"/>
      <c r="H192" s="571"/>
      <c r="I192" s="571"/>
      <c r="J192" s="571"/>
      <c r="K192" s="571"/>
      <c r="L192" s="571"/>
      <c r="M192" s="571"/>
      <c r="N192" s="571"/>
      <c r="O192" s="571"/>
      <c r="P192" s="571"/>
      <c r="Q192" s="571"/>
      <c r="R192" s="571"/>
      <c r="S192" s="571"/>
      <c r="T192" s="571"/>
      <c r="U192" s="571"/>
      <c r="V192" s="571"/>
      <c r="W192" s="571"/>
      <c r="X192" s="571"/>
      <c r="Y192" s="575"/>
      <c r="Z192" s="96">
        <v>-993936</v>
      </c>
      <c r="AA192" s="96">
        <v>-775694</v>
      </c>
      <c r="AB192" s="96">
        <v>-859593</v>
      </c>
      <c r="AC192" s="96">
        <v>-887073</v>
      </c>
      <c r="AD192" s="145">
        <v>-1251411</v>
      </c>
      <c r="AE192" s="145">
        <v>-768821</v>
      </c>
      <c r="AF192" s="145">
        <v>-689190</v>
      </c>
      <c r="AG192" s="145">
        <v>-852336</v>
      </c>
      <c r="AH192" s="145">
        <v>-983453</v>
      </c>
      <c r="AI192" s="145">
        <v>-723226</v>
      </c>
      <c r="AJ192" s="145">
        <v>-900735</v>
      </c>
      <c r="AK192" s="145">
        <v>-1006080</v>
      </c>
      <c r="AL192" s="145">
        <v>-1036440</v>
      </c>
      <c r="AM192" s="145">
        <v>-883218</v>
      </c>
      <c r="AN192" s="145"/>
      <c r="AO192" s="145"/>
      <c r="AP192" s="145"/>
    </row>
    <row r="193" spans="1:42">
      <c r="A193" s="694" t="s">
        <v>681</v>
      </c>
      <c r="B193" s="695"/>
      <c r="C193" s="695"/>
      <c r="D193" s="695"/>
      <c r="E193" s="695"/>
      <c r="F193" s="695"/>
      <c r="G193" s="695"/>
      <c r="H193" s="695"/>
      <c r="I193" s="695"/>
      <c r="J193" s="695"/>
      <c r="K193" s="695"/>
      <c r="L193" s="695"/>
      <c r="M193" s="695"/>
      <c r="N193" s="695"/>
      <c r="O193" s="695"/>
      <c r="P193" s="695"/>
      <c r="Q193" s="695"/>
      <c r="R193" s="695"/>
      <c r="S193" s="695"/>
      <c r="T193" s="695"/>
      <c r="U193" s="695"/>
      <c r="V193" s="695"/>
      <c r="W193" s="695"/>
      <c r="X193" s="695"/>
      <c r="Y193" s="696"/>
      <c r="Z193" s="96">
        <v>-131077</v>
      </c>
      <c r="AA193" s="232">
        <v>0</v>
      </c>
      <c r="AB193" s="232">
        <v>0</v>
      </c>
      <c r="AC193" s="232">
        <v>0</v>
      </c>
      <c r="AD193" s="232">
        <v>0</v>
      </c>
      <c r="AE193" s="232">
        <v>0</v>
      </c>
      <c r="AF193" s="232">
        <v>0</v>
      </c>
      <c r="AG193" s="232">
        <v>0</v>
      </c>
      <c r="AH193" s="232">
        <v>0</v>
      </c>
      <c r="AI193" s="232">
        <v>0</v>
      </c>
      <c r="AJ193" s="232">
        <v>0</v>
      </c>
      <c r="AK193" s="232">
        <v>0</v>
      </c>
      <c r="AL193" s="232">
        <v>0</v>
      </c>
      <c r="AM193" s="232">
        <v>0</v>
      </c>
      <c r="AO193" s="145"/>
      <c r="AP193" s="145"/>
    </row>
    <row r="194" spans="1:42">
      <c r="A194" s="694" t="s">
        <v>682</v>
      </c>
      <c r="B194" s="695"/>
      <c r="C194" s="695"/>
      <c r="D194" s="695"/>
      <c r="E194" s="695"/>
      <c r="F194" s="695"/>
      <c r="G194" s="695"/>
      <c r="H194" s="695"/>
      <c r="I194" s="695"/>
      <c r="J194" s="695"/>
      <c r="K194" s="695"/>
      <c r="L194" s="695"/>
      <c r="M194" s="695"/>
      <c r="N194" s="695"/>
      <c r="O194" s="695"/>
      <c r="P194" s="695"/>
      <c r="Q194" s="695"/>
      <c r="R194" s="695"/>
      <c r="S194" s="695"/>
      <c r="T194" s="695"/>
      <c r="U194" s="695"/>
      <c r="V194" s="695"/>
      <c r="W194" s="695"/>
      <c r="X194" s="695"/>
      <c r="Y194" s="696"/>
      <c r="Z194" s="96">
        <v>-1690</v>
      </c>
      <c r="AA194" s="96">
        <v>-27844</v>
      </c>
      <c r="AB194" s="96">
        <v>-1138</v>
      </c>
      <c r="AC194" s="96">
        <v>-5949</v>
      </c>
      <c r="AD194" s="145">
        <v>-4703</v>
      </c>
      <c r="AE194" s="145">
        <v>-454</v>
      </c>
      <c r="AF194" s="145">
        <v>-50240</v>
      </c>
      <c r="AG194" s="145">
        <v>-34658</v>
      </c>
      <c r="AH194" s="145">
        <v>-9134</v>
      </c>
      <c r="AI194" s="145">
        <v>-228</v>
      </c>
      <c r="AJ194" s="145">
        <v>-10193</v>
      </c>
      <c r="AK194" s="145">
        <v>-10410</v>
      </c>
      <c r="AL194" s="145">
        <v>-10109</v>
      </c>
      <c r="AM194" s="145">
        <v>-235</v>
      </c>
      <c r="AO194" s="145"/>
      <c r="AP194" s="145"/>
    </row>
    <row r="195" spans="1:42">
      <c r="A195" s="694" t="s">
        <v>683</v>
      </c>
      <c r="B195" s="695"/>
      <c r="C195" s="695"/>
      <c r="D195" s="695"/>
      <c r="E195" s="695"/>
      <c r="F195" s="695"/>
      <c r="G195" s="695"/>
      <c r="H195" s="695"/>
      <c r="I195" s="695"/>
      <c r="J195" s="695"/>
      <c r="K195" s="695"/>
      <c r="L195" s="695"/>
      <c r="M195" s="695"/>
      <c r="N195" s="695"/>
      <c r="O195" s="695"/>
      <c r="P195" s="695"/>
      <c r="Q195" s="695"/>
      <c r="R195" s="695"/>
      <c r="S195" s="695"/>
      <c r="T195" s="695"/>
      <c r="U195" s="695"/>
      <c r="V195" s="695"/>
      <c r="W195" s="695"/>
      <c r="X195" s="695"/>
      <c r="Y195" s="696"/>
      <c r="Z195" s="96">
        <v>-6000</v>
      </c>
      <c r="AA195" s="96">
        <v>-1600</v>
      </c>
      <c r="AB195" s="96">
        <v>-3175</v>
      </c>
      <c r="AC195" s="96">
        <v>-12800</v>
      </c>
      <c r="AD195" s="145">
        <v>-292742</v>
      </c>
      <c r="AE195" s="145">
        <v>-3250</v>
      </c>
      <c r="AF195" s="145">
        <v>-5550</v>
      </c>
      <c r="AG195" s="145">
        <v>-5590</v>
      </c>
      <c r="AH195" s="145">
        <v>-31800</v>
      </c>
      <c r="AI195" s="145">
        <v>-8015</v>
      </c>
      <c r="AJ195" s="145">
        <v>-1260</v>
      </c>
      <c r="AK195" s="145">
        <v>-11035</v>
      </c>
      <c r="AL195" s="145">
        <v>-6375</v>
      </c>
      <c r="AM195" s="145">
        <v>-4000</v>
      </c>
      <c r="AO195" s="145"/>
      <c r="AP195" s="145"/>
    </row>
    <row r="196" spans="1:42">
      <c r="A196" s="694" t="s">
        <v>684</v>
      </c>
      <c r="B196" s="695"/>
      <c r="C196" s="695"/>
      <c r="D196" s="695"/>
      <c r="E196" s="695"/>
      <c r="F196" s="695"/>
      <c r="G196" s="695"/>
      <c r="H196" s="695"/>
      <c r="I196" s="695"/>
      <c r="J196" s="695"/>
      <c r="K196" s="695"/>
      <c r="L196" s="695"/>
      <c r="M196" s="695"/>
      <c r="N196" s="695"/>
      <c r="O196" s="695"/>
      <c r="P196" s="695"/>
      <c r="Q196" s="695"/>
      <c r="R196" s="695"/>
      <c r="S196" s="695"/>
      <c r="T196" s="695"/>
      <c r="U196" s="695"/>
      <c r="V196" s="695"/>
      <c r="W196" s="695"/>
      <c r="X196" s="695"/>
      <c r="Y196" s="696"/>
      <c r="Z196" s="232">
        <v>0</v>
      </c>
      <c r="AA196" s="232">
        <v>0</v>
      </c>
      <c r="AB196" s="232">
        <v>0</v>
      </c>
      <c r="AC196" s="232">
        <v>0</v>
      </c>
      <c r="AD196" s="232">
        <v>0</v>
      </c>
      <c r="AE196" s="232">
        <v>0</v>
      </c>
      <c r="AF196" s="232">
        <v>0</v>
      </c>
      <c r="AG196" s="232">
        <v>0</v>
      </c>
      <c r="AH196" s="232">
        <v>0</v>
      </c>
      <c r="AI196" s="232">
        <v>0</v>
      </c>
      <c r="AJ196" s="232">
        <v>0</v>
      </c>
      <c r="AK196" s="232">
        <v>0</v>
      </c>
      <c r="AL196" s="232">
        <v>0</v>
      </c>
      <c r="AM196" s="232">
        <v>0</v>
      </c>
      <c r="AO196" s="145"/>
      <c r="AP196" s="145"/>
    </row>
    <row r="197" spans="1:42">
      <c r="A197" s="705" t="s">
        <v>369</v>
      </c>
      <c r="B197" s="683"/>
      <c r="C197" s="683"/>
      <c r="D197" s="683"/>
      <c r="E197" s="683"/>
      <c r="F197" s="683"/>
      <c r="G197" s="683"/>
      <c r="H197" s="683"/>
      <c r="I197" s="683"/>
      <c r="J197" s="683"/>
      <c r="K197" s="683"/>
      <c r="L197" s="683"/>
      <c r="M197" s="683"/>
      <c r="N197" s="683"/>
      <c r="O197" s="683"/>
      <c r="P197" s="683"/>
      <c r="Q197" s="683"/>
      <c r="R197" s="683"/>
      <c r="S197" s="683"/>
      <c r="T197" s="683"/>
      <c r="U197" s="683"/>
      <c r="V197" s="683"/>
      <c r="W197" s="683"/>
      <c r="X197" s="683"/>
      <c r="Y197" s="706"/>
      <c r="Z197" s="102">
        <v>-1132703</v>
      </c>
      <c r="AA197" s="102">
        <v>-805138</v>
      </c>
      <c r="AB197" s="102">
        <v>-863906</v>
      </c>
      <c r="AC197" s="102">
        <v>-905822</v>
      </c>
      <c r="AD197" s="102">
        <v>-1548856</v>
      </c>
      <c r="AE197" s="102">
        <v>-772525</v>
      </c>
      <c r="AF197" s="259">
        <v>-744980</v>
      </c>
      <c r="AG197" s="259">
        <v>-892584</v>
      </c>
      <c r="AH197" s="259">
        <v>-1024387</v>
      </c>
      <c r="AI197" s="259">
        <v>-731469</v>
      </c>
      <c r="AJ197" s="259">
        <v>-912188</v>
      </c>
      <c r="AK197" s="259">
        <v>-1027525</v>
      </c>
      <c r="AL197" s="259">
        <v>-1052924</v>
      </c>
      <c r="AM197" s="259">
        <v>-887453</v>
      </c>
      <c r="AO197" s="145"/>
      <c r="AP197" s="145"/>
    </row>
    <row r="198" spans="1:42" ht="26.25">
      <c r="A198" s="417" t="s">
        <v>685</v>
      </c>
      <c r="B198" s="448"/>
      <c r="C198" s="571"/>
      <c r="D198" s="571"/>
      <c r="E198" s="571"/>
      <c r="F198" s="571"/>
      <c r="G198" s="571"/>
      <c r="H198" s="571"/>
      <c r="I198" s="571"/>
      <c r="J198" s="448"/>
      <c r="K198" s="571"/>
      <c r="L198" s="571"/>
      <c r="M198" s="571"/>
      <c r="N198" s="571"/>
      <c r="O198" s="571"/>
      <c r="P198" s="448"/>
      <c r="Q198" s="571"/>
      <c r="R198" s="571"/>
      <c r="S198" s="571"/>
      <c r="T198" s="571"/>
      <c r="U198" s="571"/>
      <c r="V198" s="571"/>
      <c r="W198" s="571"/>
      <c r="X198" s="571"/>
      <c r="Y198" s="449"/>
      <c r="Z198" s="96">
        <v>5442</v>
      </c>
      <c r="AA198" s="96">
        <v>9961</v>
      </c>
      <c r="AB198" s="96">
        <v>8433</v>
      </c>
      <c r="AC198" s="96">
        <v>9424</v>
      </c>
      <c r="AD198" s="145">
        <v>10092</v>
      </c>
      <c r="AE198" s="145">
        <v>5619</v>
      </c>
      <c r="AF198" s="145">
        <v>11958</v>
      </c>
      <c r="AG198" s="145">
        <v>8999</v>
      </c>
      <c r="AH198" s="145">
        <v>3584</v>
      </c>
      <c r="AI198" s="145">
        <v>7194</v>
      </c>
      <c r="AJ198" s="145">
        <v>12505</v>
      </c>
      <c r="AK198" s="145">
        <v>5717</v>
      </c>
      <c r="AL198" s="145">
        <v>5503</v>
      </c>
      <c r="AM198" s="145">
        <v>7752</v>
      </c>
      <c r="AO198" s="145"/>
      <c r="AP198" s="145"/>
    </row>
    <row r="199" spans="1:42">
      <c r="A199" s="694" t="s">
        <v>686</v>
      </c>
      <c r="B199" s="695"/>
      <c r="C199" s="695"/>
      <c r="D199" s="695"/>
      <c r="E199" s="695"/>
      <c r="F199" s="695"/>
      <c r="G199" s="695"/>
      <c r="H199" s="695"/>
      <c r="I199" s="695"/>
      <c r="J199" s="695"/>
      <c r="K199" s="695"/>
      <c r="L199" s="695"/>
      <c r="M199" s="695"/>
      <c r="N199" s="695"/>
      <c r="O199" s="695"/>
      <c r="P199" s="695"/>
      <c r="Q199" s="695"/>
      <c r="R199" s="695"/>
      <c r="S199" s="695"/>
      <c r="T199" s="695"/>
      <c r="U199" s="695"/>
      <c r="V199" s="695"/>
      <c r="W199" s="695"/>
      <c r="X199" s="695"/>
      <c r="Y199" s="696"/>
      <c r="Z199" s="232">
        <v>0</v>
      </c>
      <c r="AA199" s="232">
        <v>0</v>
      </c>
      <c r="AB199" s="232">
        <v>0</v>
      </c>
      <c r="AC199" s="232">
        <v>0</v>
      </c>
      <c r="AD199" s="232">
        <v>0</v>
      </c>
      <c r="AE199" s="232">
        <v>0</v>
      </c>
      <c r="AF199" s="232">
        <v>0</v>
      </c>
      <c r="AG199" s="232">
        <v>0</v>
      </c>
      <c r="AH199" s="232">
        <v>0</v>
      </c>
      <c r="AI199" s="145">
        <v>299100</v>
      </c>
      <c r="AJ199" s="145">
        <v>1015</v>
      </c>
      <c r="AK199" s="145">
        <v>1110</v>
      </c>
      <c r="AL199" s="145">
        <v>2230</v>
      </c>
      <c r="AM199" s="145">
        <v>1540</v>
      </c>
      <c r="AO199" s="145"/>
      <c r="AP199" s="145"/>
    </row>
    <row r="200" spans="1:42">
      <c r="A200" s="694" t="s">
        <v>687</v>
      </c>
      <c r="B200" s="695"/>
      <c r="C200" s="695"/>
      <c r="D200" s="695"/>
      <c r="E200" s="695"/>
      <c r="F200" s="695"/>
      <c r="G200" s="695"/>
      <c r="H200" s="695"/>
      <c r="I200" s="695"/>
      <c r="J200" s="695"/>
      <c r="K200" s="695"/>
      <c r="L200" s="695"/>
      <c r="M200" s="695"/>
      <c r="N200" s="695"/>
      <c r="O200" s="695"/>
      <c r="P200" s="695"/>
      <c r="Q200" s="695"/>
      <c r="R200" s="695"/>
      <c r="S200" s="695"/>
      <c r="T200" s="695"/>
      <c r="U200" s="695"/>
      <c r="V200" s="695"/>
      <c r="W200" s="695"/>
      <c r="X200" s="695"/>
      <c r="Y200" s="696"/>
      <c r="Z200" s="232">
        <v>0</v>
      </c>
      <c r="AA200" s="232">
        <v>0</v>
      </c>
      <c r="AB200" s="232">
        <v>0</v>
      </c>
      <c r="AC200" s="232">
        <v>0</v>
      </c>
      <c r="AD200" s="232">
        <v>0</v>
      </c>
      <c r="AE200" s="232">
        <v>0</v>
      </c>
      <c r="AF200" s="232">
        <v>0</v>
      </c>
      <c r="AG200" s="232">
        <v>0</v>
      </c>
      <c r="AH200" s="232">
        <v>0</v>
      </c>
      <c r="AI200" s="232">
        <v>0</v>
      </c>
      <c r="AJ200" s="232">
        <v>0</v>
      </c>
      <c r="AK200" s="232">
        <v>0</v>
      </c>
      <c r="AL200" s="232">
        <v>0</v>
      </c>
      <c r="AM200" s="232">
        <v>0</v>
      </c>
      <c r="AO200" s="145"/>
      <c r="AP200" s="145"/>
    </row>
    <row r="201" spans="1:42">
      <c r="A201" s="694" t="s">
        <v>688</v>
      </c>
      <c r="B201" s="695"/>
      <c r="C201" s="695"/>
      <c r="D201" s="695"/>
      <c r="E201" s="695"/>
      <c r="F201" s="695"/>
      <c r="G201" s="695"/>
      <c r="H201" s="695"/>
      <c r="I201" s="695"/>
      <c r="J201" s="695"/>
      <c r="K201" s="695"/>
      <c r="L201" s="695"/>
      <c r="M201" s="695"/>
      <c r="N201" s="695"/>
      <c r="O201" s="695"/>
      <c r="P201" s="695"/>
      <c r="Q201" s="695"/>
      <c r="R201" s="695"/>
      <c r="S201" s="695"/>
      <c r="T201" s="695"/>
      <c r="U201" s="695"/>
      <c r="V201" s="695"/>
      <c r="W201" s="695"/>
      <c r="X201" s="695"/>
      <c r="Y201" s="696"/>
      <c r="Z201" s="232">
        <v>0</v>
      </c>
      <c r="AA201" s="145">
        <v>6592</v>
      </c>
      <c r="AB201" s="145">
        <v>24428</v>
      </c>
      <c r="AC201" s="145">
        <v>-1292</v>
      </c>
      <c r="AD201" s="232">
        <v>0</v>
      </c>
      <c r="AE201" s="145">
        <v>3597</v>
      </c>
      <c r="AF201" s="145">
        <v>20912</v>
      </c>
      <c r="AG201" s="145">
        <v>127</v>
      </c>
      <c r="AH201" s="232">
        <v>0</v>
      </c>
      <c r="AI201" s="232">
        <v>0</v>
      </c>
      <c r="AJ201" s="145">
        <v>21628</v>
      </c>
      <c r="AK201" s="145">
        <v>1980</v>
      </c>
      <c r="AL201" s="232">
        <v>0</v>
      </c>
      <c r="AM201" s="145">
        <v>32666</v>
      </c>
      <c r="AO201" s="145"/>
      <c r="AP201" s="145"/>
    </row>
    <row r="202" spans="1:42">
      <c r="A202" s="694" t="s">
        <v>689</v>
      </c>
      <c r="B202" s="695"/>
      <c r="C202" s="695"/>
      <c r="D202" s="695"/>
      <c r="E202" s="695"/>
      <c r="F202" s="695"/>
      <c r="G202" s="695"/>
      <c r="H202" s="695"/>
      <c r="I202" s="695"/>
      <c r="J202" s="695"/>
      <c r="K202" s="695"/>
      <c r="L202" s="695"/>
      <c r="M202" s="695"/>
      <c r="N202" s="695"/>
      <c r="O202" s="695"/>
      <c r="P202" s="695"/>
      <c r="Q202" s="695"/>
      <c r="R202" s="695"/>
      <c r="S202" s="695"/>
      <c r="T202" s="695"/>
      <c r="U202" s="695"/>
      <c r="V202" s="695"/>
      <c r="W202" s="695"/>
      <c r="X202" s="695"/>
      <c r="Y202" s="696"/>
      <c r="Z202" s="145">
        <v>661</v>
      </c>
      <c r="AA202" s="145">
        <v>10813</v>
      </c>
      <c r="AB202" s="145">
        <v>4614</v>
      </c>
      <c r="AC202" s="145">
        <v>1035</v>
      </c>
      <c r="AD202" s="145">
        <v>1749</v>
      </c>
      <c r="AE202" s="145">
        <f>5924-AE201</f>
        <v>2327</v>
      </c>
      <c r="AF202" s="145">
        <v>19883</v>
      </c>
      <c r="AG202" s="145">
        <v>2006</v>
      </c>
      <c r="AH202" s="145">
        <v>850</v>
      </c>
      <c r="AI202" s="145">
        <v>1931</v>
      </c>
      <c r="AJ202" s="145">
        <v>78475</v>
      </c>
      <c r="AK202" s="145">
        <v>1150</v>
      </c>
      <c r="AL202" s="145">
        <v>368</v>
      </c>
      <c r="AM202" s="145">
        <v>556</v>
      </c>
      <c r="AO202" s="145"/>
      <c r="AP202" s="145"/>
    </row>
    <row r="203" spans="1:42">
      <c r="A203" s="705" t="s">
        <v>371</v>
      </c>
      <c r="B203" s="683"/>
      <c r="C203" s="683"/>
      <c r="D203" s="683"/>
      <c r="E203" s="683"/>
      <c r="F203" s="683"/>
      <c r="G203" s="683"/>
      <c r="H203" s="683"/>
      <c r="I203" s="683"/>
      <c r="J203" s="683"/>
      <c r="K203" s="683"/>
      <c r="L203" s="683"/>
      <c r="M203" s="683"/>
      <c r="N203" s="683"/>
      <c r="O203" s="683"/>
      <c r="P203" s="683"/>
      <c r="Q203" s="683"/>
      <c r="R203" s="683"/>
      <c r="S203" s="683"/>
      <c r="T203" s="683"/>
      <c r="U203" s="683"/>
      <c r="V203" s="683"/>
      <c r="W203" s="683"/>
      <c r="X203" s="683"/>
      <c r="Y203" s="706"/>
      <c r="Z203" s="259">
        <v>6103</v>
      </c>
      <c r="AA203" s="259">
        <v>27366</v>
      </c>
      <c r="AB203" s="259">
        <v>37475</v>
      </c>
      <c r="AC203" s="259">
        <v>9167</v>
      </c>
      <c r="AD203" s="259">
        <v>11841</v>
      </c>
      <c r="AE203" s="259">
        <v>11543</v>
      </c>
      <c r="AF203" s="259">
        <v>52753</v>
      </c>
      <c r="AG203" s="259">
        <v>11132</v>
      </c>
      <c r="AH203" s="259">
        <v>4434</v>
      </c>
      <c r="AI203" s="259">
        <v>308225</v>
      </c>
      <c r="AJ203" s="259">
        <v>113623</v>
      </c>
      <c r="AK203" s="259">
        <v>9957</v>
      </c>
      <c r="AL203" s="259">
        <v>8101</v>
      </c>
      <c r="AM203" s="259">
        <v>42514</v>
      </c>
      <c r="AO203" s="145"/>
      <c r="AP203" s="145"/>
    </row>
    <row r="204" spans="1:42" s="177" customFormat="1">
      <c r="A204" s="702" t="s">
        <v>690</v>
      </c>
      <c r="B204" s="703"/>
      <c r="C204" s="703"/>
      <c r="D204" s="703"/>
      <c r="E204" s="703"/>
      <c r="F204" s="703"/>
      <c r="G204" s="703"/>
      <c r="H204" s="703"/>
      <c r="I204" s="703"/>
      <c r="J204" s="703"/>
      <c r="K204" s="703"/>
      <c r="L204" s="703"/>
      <c r="M204" s="703"/>
      <c r="N204" s="703"/>
      <c r="O204" s="703"/>
      <c r="P204" s="703"/>
      <c r="Q204" s="703"/>
      <c r="R204" s="703"/>
      <c r="S204" s="703"/>
      <c r="T204" s="703"/>
      <c r="U204" s="703"/>
      <c r="V204" s="703"/>
      <c r="W204" s="703"/>
      <c r="X204" s="703"/>
      <c r="Y204" s="704"/>
      <c r="Z204" s="175">
        <v>-1126600</v>
      </c>
      <c r="AA204" s="175">
        <v>-777772</v>
      </c>
      <c r="AB204" s="175">
        <v>-826431</v>
      </c>
      <c r="AC204" s="175">
        <v>-896655</v>
      </c>
      <c r="AD204" s="175">
        <v>-1537015</v>
      </c>
      <c r="AE204" s="175">
        <v>-760982</v>
      </c>
      <c r="AF204" s="175">
        <v>-692227</v>
      </c>
      <c r="AG204" s="175">
        <v>-881452</v>
      </c>
      <c r="AH204" s="175">
        <v>-1019953</v>
      </c>
      <c r="AI204" s="175">
        <v>-423244</v>
      </c>
      <c r="AJ204" s="175">
        <v>-798565</v>
      </c>
      <c r="AK204" s="175">
        <v>-1017568</v>
      </c>
      <c r="AL204" s="175">
        <v>-1044823</v>
      </c>
      <c r="AM204" s="175">
        <v>-844939</v>
      </c>
      <c r="AO204" s="145"/>
      <c r="AP204" s="145"/>
    </row>
    <row r="205" spans="1:42">
      <c r="A205" s="705" t="s">
        <v>373</v>
      </c>
      <c r="B205" s="673"/>
      <c r="C205" s="673"/>
      <c r="D205" s="673"/>
      <c r="E205" s="673"/>
      <c r="F205" s="673"/>
      <c r="G205" s="673"/>
      <c r="H205" s="673"/>
      <c r="I205" s="673"/>
      <c r="J205" s="673"/>
      <c r="K205" s="673"/>
      <c r="L205" s="673"/>
      <c r="M205" s="673"/>
      <c r="N205" s="673"/>
      <c r="O205" s="673"/>
      <c r="P205" s="673"/>
      <c r="Q205" s="673"/>
      <c r="R205" s="673"/>
      <c r="S205" s="673"/>
      <c r="T205" s="673"/>
      <c r="U205" s="673"/>
      <c r="V205" s="673"/>
      <c r="W205" s="673"/>
      <c r="X205" s="673"/>
      <c r="Y205" s="701"/>
      <c r="AD205" s="145"/>
      <c r="AE205" s="145"/>
      <c r="AF205" s="145"/>
      <c r="AI205" s="145"/>
      <c r="AK205" s="145"/>
      <c r="AO205" s="145"/>
      <c r="AP205" s="145"/>
    </row>
    <row r="206" spans="1:42">
      <c r="A206" s="694" t="s">
        <v>687</v>
      </c>
      <c r="B206" s="695"/>
      <c r="C206" s="695"/>
      <c r="D206" s="695"/>
      <c r="E206" s="695"/>
      <c r="F206" s="695"/>
      <c r="G206" s="695"/>
      <c r="H206" s="695"/>
      <c r="I206" s="695"/>
      <c r="J206" s="695"/>
      <c r="K206" s="695"/>
      <c r="L206" s="695"/>
      <c r="M206" s="695"/>
      <c r="N206" s="695"/>
      <c r="O206" s="695"/>
      <c r="P206" s="695"/>
      <c r="Q206" s="695"/>
      <c r="R206" s="695"/>
      <c r="S206" s="695"/>
      <c r="T206" s="695"/>
      <c r="U206" s="695"/>
      <c r="V206" s="695"/>
      <c r="W206" s="695"/>
      <c r="X206" s="695"/>
      <c r="Y206" s="696"/>
      <c r="Z206" s="96">
        <v>-2250000</v>
      </c>
      <c r="AA206" s="232">
        <v>0</v>
      </c>
      <c r="AB206" s="96">
        <v>-300000</v>
      </c>
      <c r="AC206" s="96">
        <v>-750000</v>
      </c>
      <c r="AD206" s="232">
        <v>0</v>
      </c>
      <c r="AE206" s="96">
        <v>-300000</v>
      </c>
      <c r="AF206" s="145">
        <v>-400000</v>
      </c>
      <c r="AG206" s="145">
        <v>-950000</v>
      </c>
      <c r="AH206" s="232">
        <v>0</v>
      </c>
      <c r="AI206" s="232">
        <v>0</v>
      </c>
      <c r="AJ206" s="232">
        <v>0</v>
      </c>
      <c r="AK206" s="232">
        <v>0</v>
      </c>
      <c r="AL206" s="145">
        <v>-400000</v>
      </c>
      <c r="AM206" s="145">
        <v>-270000</v>
      </c>
      <c r="AO206" s="145"/>
      <c r="AP206" s="145"/>
    </row>
    <row r="207" spans="1:42">
      <c r="A207" s="694" t="s">
        <v>691</v>
      </c>
      <c r="B207" s="695"/>
      <c r="C207" s="695"/>
      <c r="D207" s="695"/>
      <c r="E207" s="695"/>
      <c r="F207" s="695"/>
      <c r="G207" s="695"/>
      <c r="H207" s="695"/>
      <c r="I207" s="695"/>
      <c r="J207" s="695"/>
      <c r="K207" s="695"/>
      <c r="L207" s="695"/>
      <c r="M207" s="695"/>
      <c r="N207" s="695"/>
      <c r="O207" s="695"/>
      <c r="P207" s="695"/>
      <c r="Q207" s="695"/>
      <c r="R207" s="695"/>
      <c r="S207" s="695"/>
      <c r="T207" s="695"/>
      <c r="U207" s="695"/>
      <c r="V207" s="695"/>
      <c r="W207" s="695"/>
      <c r="X207" s="695"/>
      <c r="Y207" s="696"/>
      <c r="Z207" s="96">
        <v>-22323</v>
      </c>
      <c r="AA207" s="96">
        <v>-22401</v>
      </c>
      <c r="AB207" s="96">
        <v>-22235</v>
      </c>
      <c r="AC207" s="96">
        <v>-73372</v>
      </c>
      <c r="AD207" s="145">
        <v>-22462</v>
      </c>
      <c r="AE207" s="145">
        <v>-22442</v>
      </c>
      <c r="AF207" s="145">
        <v>-37055</v>
      </c>
      <c r="AG207" s="145">
        <v>-72959</v>
      </c>
      <c r="AH207" s="145">
        <v>-36251</v>
      </c>
      <c r="AI207" s="145">
        <v>-22288</v>
      </c>
      <c r="AJ207" s="145">
        <v>-37041</v>
      </c>
      <c r="AK207" s="145">
        <v>-73294</v>
      </c>
      <c r="AL207" s="145">
        <v>-37054</v>
      </c>
      <c r="AM207" s="145">
        <v>-21526</v>
      </c>
      <c r="AO207" s="145"/>
      <c r="AP207" s="145"/>
    </row>
    <row r="208" spans="1:42">
      <c r="A208" s="417" t="s">
        <v>692</v>
      </c>
      <c r="B208" s="470"/>
      <c r="C208" s="570"/>
      <c r="D208" s="570"/>
      <c r="E208" s="570"/>
      <c r="F208" s="570"/>
      <c r="G208" s="570"/>
      <c r="H208" s="570"/>
      <c r="I208" s="570"/>
      <c r="J208" s="470"/>
      <c r="K208" s="570"/>
      <c r="L208" s="570"/>
      <c r="M208" s="570"/>
      <c r="N208" s="570"/>
      <c r="O208" s="570"/>
      <c r="P208" s="570"/>
      <c r="Q208" s="570"/>
      <c r="R208" s="470"/>
      <c r="S208" s="570"/>
      <c r="T208" s="570"/>
      <c r="U208" s="570"/>
      <c r="V208" s="570"/>
      <c r="W208" s="570"/>
      <c r="X208" s="570"/>
      <c r="Y208" s="471"/>
      <c r="Z208" s="232">
        <v>0</v>
      </c>
      <c r="AA208" s="232">
        <v>0</v>
      </c>
      <c r="AB208" s="232">
        <v>0</v>
      </c>
      <c r="AC208" s="232">
        <v>0</v>
      </c>
      <c r="AD208" s="232">
        <v>0</v>
      </c>
      <c r="AE208" s="232">
        <v>0</v>
      </c>
      <c r="AF208" s="232">
        <v>0</v>
      </c>
      <c r="AG208" s="232">
        <v>0</v>
      </c>
      <c r="AH208" s="232">
        <v>0</v>
      </c>
      <c r="AI208" s="232">
        <v>0</v>
      </c>
      <c r="AJ208" s="232">
        <v>0</v>
      </c>
      <c r="AK208" s="232">
        <v>0</v>
      </c>
      <c r="AL208" s="232">
        <v>0</v>
      </c>
      <c r="AM208" s="232">
        <v>0</v>
      </c>
      <c r="AO208" s="145"/>
      <c r="AP208" s="145"/>
    </row>
    <row r="209" spans="1:42">
      <c r="A209" s="694" t="s">
        <v>693</v>
      </c>
      <c r="B209" s="695"/>
      <c r="C209" s="695"/>
      <c r="D209" s="695"/>
      <c r="E209" s="695"/>
      <c r="F209" s="695"/>
      <c r="G209" s="695"/>
      <c r="H209" s="695"/>
      <c r="I209" s="695"/>
      <c r="J209" s="695"/>
      <c r="K209" s="695"/>
      <c r="L209" s="695"/>
      <c r="M209" s="695"/>
      <c r="N209" s="695"/>
      <c r="O209" s="695"/>
      <c r="P209" s="695"/>
      <c r="Q209" s="695"/>
      <c r="R209" s="695"/>
      <c r="S209" s="695"/>
      <c r="T209" s="695"/>
      <c r="U209" s="695"/>
      <c r="V209" s="695"/>
      <c r="W209" s="695"/>
      <c r="X209" s="695"/>
      <c r="Y209" s="696"/>
      <c r="Z209" s="96">
        <v>-25165</v>
      </c>
      <c r="AA209" s="96">
        <v>-92174</v>
      </c>
      <c r="AB209" s="96">
        <v>2920</v>
      </c>
      <c r="AC209" s="96">
        <v>-140697</v>
      </c>
      <c r="AD209" s="145">
        <v>-12677</v>
      </c>
      <c r="AE209" s="145">
        <v>-52583</v>
      </c>
      <c r="AF209" s="145">
        <v>12450</v>
      </c>
      <c r="AG209" s="145">
        <v>-131740</v>
      </c>
      <c r="AH209" s="145">
        <v>-10030</v>
      </c>
      <c r="AI209" s="145">
        <v>-16715</v>
      </c>
      <c r="AJ209" s="145">
        <v>-20067</v>
      </c>
      <c r="AK209" s="145">
        <v>-113358</v>
      </c>
      <c r="AL209" s="145">
        <v>-17574</v>
      </c>
      <c r="AM209" s="145">
        <v>-12439</v>
      </c>
      <c r="AO209" s="145"/>
      <c r="AP209" s="145"/>
    </row>
    <row r="210" spans="1:42">
      <c r="A210" s="694" t="s">
        <v>684</v>
      </c>
      <c r="B210" s="695"/>
      <c r="C210" s="695"/>
      <c r="D210" s="695"/>
      <c r="E210" s="695"/>
      <c r="F210" s="695"/>
      <c r="G210" s="695"/>
      <c r="H210" s="695"/>
      <c r="I210" s="695"/>
      <c r="J210" s="695"/>
      <c r="K210" s="695"/>
      <c r="L210" s="695"/>
      <c r="M210" s="695"/>
      <c r="N210" s="695"/>
      <c r="O210" s="695"/>
      <c r="P210" s="695"/>
      <c r="Q210" s="695"/>
      <c r="R210" s="695"/>
      <c r="S210" s="695"/>
      <c r="T210" s="695"/>
      <c r="U210" s="695"/>
      <c r="V210" s="695"/>
      <c r="W210" s="695"/>
      <c r="X210" s="695"/>
      <c r="Y210" s="696"/>
      <c r="Z210" s="96">
        <v>-10779</v>
      </c>
      <c r="AA210" s="96">
        <v>-6716</v>
      </c>
      <c r="AB210" s="96">
        <v>-6730</v>
      </c>
      <c r="AC210" s="96">
        <v>-5472</v>
      </c>
      <c r="AD210" s="145">
        <v>-12838</v>
      </c>
      <c r="AE210" s="145">
        <v>-3690</v>
      </c>
      <c r="AF210" s="145">
        <v>-9761</v>
      </c>
      <c r="AG210" s="145">
        <v>-5576</v>
      </c>
      <c r="AH210" s="145">
        <v>-6922</v>
      </c>
      <c r="AI210" s="145">
        <v>-23944</v>
      </c>
      <c r="AJ210" s="145">
        <v>-17841</v>
      </c>
      <c r="AK210" s="145">
        <v>-3501</v>
      </c>
      <c r="AL210" s="145">
        <v>-19728</v>
      </c>
      <c r="AM210" s="145">
        <v>-23126</v>
      </c>
      <c r="AO210" s="145"/>
      <c r="AP210" s="145"/>
    </row>
    <row r="211" spans="1:42">
      <c r="A211" s="705" t="s">
        <v>369</v>
      </c>
      <c r="B211" s="683"/>
      <c r="C211" s="683"/>
      <c r="D211" s="683"/>
      <c r="E211" s="683"/>
      <c r="F211" s="683"/>
      <c r="G211" s="683"/>
      <c r="H211" s="683"/>
      <c r="I211" s="683"/>
      <c r="J211" s="683"/>
      <c r="K211" s="683"/>
      <c r="L211" s="683"/>
      <c r="M211" s="683"/>
      <c r="N211" s="683"/>
      <c r="O211" s="683"/>
      <c r="P211" s="683"/>
      <c r="Q211" s="683"/>
      <c r="R211" s="683"/>
      <c r="S211" s="683"/>
      <c r="T211" s="683"/>
      <c r="U211" s="683"/>
      <c r="V211" s="683"/>
      <c r="W211" s="683"/>
      <c r="X211" s="683"/>
      <c r="Y211" s="706"/>
      <c r="Z211" s="123">
        <v>-2308267</v>
      </c>
      <c r="AA211" s="123">
        <v>-121291</v>
      </c>
      <c r="AB211" s="123">
        <v>-326045</v>
      </c>
      <c r="AC211" s="123">
        <v>-969541</v>
      </c>
      <c r="AD211" s="259">
        <v>-47977</v>
      </c>
      <c r="AE211" s="259">
        <v>-378715</v>
      </c>
      <c r="AF211" s="259">
        <v>-434366</v>
      </c>
      <c r="AG211" s="259">
        <v>-1160275</v>
      </c>
      <c r="AH211" s="259">
        <v>-53203</v>
      </c>
      <c r="AI211" s="259">
        <v>-62947</v>
      </c>
      <c r="AJ211" s="259">
        <v>-74949</v>
      </c>
      <c r="AK211" s="259">
        <v>-190153</v>
      </c>
      <c r="AL211" s="259">
        <v>-474356</v>
      </c>
      <c r="AM211" s="259">
        <v>-327091</v>
      </c>
      <c r="AO211" s="145"/>
      <c r="AP211" s="145"/>
    </row>
    <row r="212" spans="1:42">
      <c r="A212" s="694" t="s">
        <v>694</v>
      </c>
      <c r="B212" s="695"/>
      <c r="C212" s="695"/>
      <c r="D212" s="695"/>
      <c r="E212" s="695"/>
      <c r="F212" s="695"/>
      <c r="G212" s="695"/>
      <c r="H212" s="695"/>
      <c r="I212" s="695"/>
      <c r="J212" s="695"/>
      <c r="K212" s="695"/>
      <c r="L212" s="695"/>
      <c r="M212" s="695"/>
      <c r="N212" s="695"/>
      <c r="O212" s="695"/>
      <c r="P212" s="695"/>
      <c r="Q212" s="695"/>
      <c r="R212" s="695"/>
      <c r="S212" s="695"/>
      <c r="T212" s="695"/>
      <c r="U212" s="695"/>
      <c r="V212" s="695"/>
      <c r="W212" s="695"/>
      <c r="X212" s="695"/>
      <c r="Y212" s="696"/>
      <c r="Z212" s="96">
        <v>2860000</v>
      </c>
      <c r="AA212" s="232">
        <v>0</v>
      </c>
      <c r="AB212" s="232">
        <v>0</v>
      </c>
      <c r="AC212" s="96">
        <v>1424607</v>
      </c>
      <c r="AD212" s="145">
        <v>500000</v>
      </c>
      <c r="AE212" s="145">
        <v>100000</v>
      </c>
      <c r="AF212" s="145">
        <v>2107462</v>
      </c>
      <c r="AG212" s="232">
        <v>0</v>
      </c>
      <c r="AH212" s="232">
        <v>0</v>
      </c>
      <c r="AI212" s="232">
        <v>0</v>
      </c>
      <c r="AJ212" s="232">
        <v>0</v>
      </c>
      <c r="AK212" s="145">
        <v>1350000</v>
      </c>
      <c r="AL212" s="145">
        <v>500000</v>
      </c>
      <c r="AM212" s="232">
        <v>0</v>
      </c>
      <c r="AO212" s="145"/>
      <c r="AP212" s="145"/>
    </row>
    <row r="213" spans="1:42">
      <c r="A213" s="694" t="s">
        <v>695</v>
      </c>
      <c r="B213" s="695"/>
      <c r="C213" s="695"/>
      <c r="D213" s="695"/>
      <c r="E213" s="695"/>
      <c r="F213" s="695"/>
      <c r="G213" s="695"/>
      <c r="H213" s="695"/>
      <c r="I213" s="695"/>
      <c r="J213" s="695"/>
      <c r="K213" s="695"/>
      <c r="L213" s="695"/>
      <c r="M213" s="695"/>
      <c r="N213" s="695"/>
      <c r="O213" s="695"/>
      <c r="P213" s="695"/>
      <c r="Q213" s="695"/>
      <c r="R213" s="695"/>
      <c r="S213" s="695"/>
      <c r="T213" s="695"/>
      <c r="U213" s="695"/>
      <c r="V213" s="695"/>
      <c r="W213" s="695"/>
      <c r="X213" s="695"/>
      <c r="Y213" s="696"/>
      <c r="Z213" s="232">
        <v>0</v>
      </c>
      <c r="AA213" s="145">
        <v>916</v>
      </c>
      <c r="AB213" s="232">
        <v>0</v>
      </c>
      <c r="AC213" s="145">
        <v>-2</v>
      </c>
      <c r="AD213" s="232">
        <v>0</v>
      </c>
      <c r="AE213" s="232">
        <v>0</v>
      </c>
      <c r="AF213" s="232">
        <v>0</v>
      </c>
      <c r="AG213" s="232">
        <v>0</v>
      </c>
      <c r="AH213" s="232">
        <v>0</v>
      </c>
      <c r="AI213" s="232">
        <v>0</v>
      </c>
      <c r="AJ213" s="232">
        <v>0</v>
      </c>
      <c r="AK213" s="145">
        <v>293</v>
      </c>
      <c r="AL213" s="145">
        <v>730000</v>
      </c>
      <c r="AM213" s="145">
        <v>270000</v>
      </c>
      <c r="AO213" s="145"/>
      <c r="AP213" s="145"/>
    </row>
    <row r="214" spans="1:42">
      <c r="A214" s="694" t="s">
        <v>696</v>
      </c>
      <c r="B214" s="694"/>
      <c r="C214" s="694"/>
      <c r="D214" s="694"/>
      <c r="E214" s="694"/>
      <c r="F214" s="694"/>
      <c r="G214" s="694"/>
      <c r="H214" s="694"/>
      <c r="I214" s="694"/>
      <c r="J214" s="694"/>
      <c r="K214" s="694"/>
      <c r="L214" s="694"/>
      <c r="M214" s="694"/>
      <c r="N214" s="694"/>
      <c r="O214" s="694"/>
      <c r="P214" s="694"/>
      <c r="Q214" s="694"/>
      <c r="R214" s="694"/>
      <c r="S214" s="694"/>
      <c r="T214" s="694"/>
      <c r="U214" s="694"/>
      <c r="V214" s="694"/>
      <c r="W214" s="694"/>
      <c r="X214" s="694"/>
      <c r="Y214" s="710"/>
      <c r="Z214" s="96">
        <v>4133</v>
      </c>
      <c r="AA214" s="96">
        <v>17968</v>
      </c>
      <c r="AB214" s="96">
        <v>1777</v>
      </c>
      <c r="AC214" s="96">
        <v>6006</v>
      </c>
      <c r="AD214" s="145">
        <v>218</v>
      </c>
      <c r="AE214" s="145">
        <v>340</v>
      </c>
      <c r="AF214" s="145">
        <v>4865</v>
      </c>
      <c r="AG214" s="145">
        <v>68077</v>
      </c>
      <c r="AH214" s="145">
        <v>1257</v>
      </c>
      <c r="AI214" s="145">
        <v>6501</v>
      </c>
      <c r="AJ214" s="145">
        <v>4654</v>
      </c>
      <c r="AK214" s="145">
        <v>89947</v>
      </c>
      <c r="AL214" s="145">
        <v>7666</v>
      </c>
      <c r="AM214" s="145">
        <v>10052</v>
      </c>
      <c r="AO214" s="145"/>
      <c r="AP214" s="145"/>
    </row>
    <row r="215" spans="1:42">
      <c r="A215" s="560" t="s">
        <v>922</v>
      </c>
      <c r="B215" s="560"/>
      <c r="C215" s="560"/>
      <c r="D215" s="560"/>
      <c r="E215" s="560"/>
      <c r="F215" s="560"/>
      <c r="G215" s="560"/>
      <c r="H215" s="560"/>
      <c r="I215" s="560"/>
      <c r="J215" s="560"/>
      <c r="K215" s="560"/>
      <c r="L215" s="560"/>
      <c r="M215" s="560"/>
      <c r="N215" s="560"/>
      <c r="O215" s="560"/>
      <c r="P215" s="560"/>
      <c r="Q215" s="560"/>
      <c r="R215" s="560"/>
      <c r="S215" s="560"/>
      <c r="T215" s="560"/>
      <c r="U215" s="560"/>
      <c r="V215" s="560"/>
      <c r="W215" s="560"/>
      <c r="X215" s="560"/>
      <c r="Y215" s="561"/>
      <c r="Z215" s="232">
        <v>0</v>
      </c>
      <c r="AA215" s="232">
        <v>0</v>
      </c>
      <c r="AB215" s="232">
        <v>0</v>
      </c>
      <c r="AC215" s="232">
        <v>0</v>
      </c>
      <c r="AD215" s="232">
        <v>0</v>
      </c>
      <c r="AE215" s="232">
        <v>0</v>
      </c>
      <c r="AF215" s="232">
        <v>0</v>
      </c>
      <c r="AG215" s="232">
        <v>0</v>
      </c>
      <c r="AH215" s="232">
        <v>0</v>
      </c>
      <c r="AI215" s="232">
        <v>0</v>
      </c>
      <c r="AJ215" s="232">
        <v>0</v>
      </c>
      <c r="AK215" s="145">
        <v>100000</v>
      </c>
      <c r="AL215" s="145">
        <v>256925</v>
      </c>
      <c r="AM215" s="232">
        <v>0</v>
      </c>
      <c r="AO215" s="145"/>
      <c r="AP215" s="145"/>
    </row>
    <row r="216" spans="1:42">
      <c r="A216" s="705" t="s">
        <v>371</v>
      </c>
      <c r="B216" s="683"/>
      <c r="C216" s="683"/>
      <c r="D216" s="683"/>
      <c r="E216" s="683"/>
      <c r="F216" s="683"/>
      <c r="G216" s="683"/>
      <c r="H216" s="683"/>
      <c r="I216" s="683"/>
      <c r="J216" s="683"/>
      <c r="K216" s="683"/>
      <c r="L216" s="683"/>
      <c r="M216" s="683"/>
      <c r="N216" s="683"/>
      <c r="O216" s="683"/>
      <c r="P216" s="683"/>
      <c r="Q216" s="683"/>
      <c r="R216" s="683"/>
      <c r="S216" s="683"/>
      <c r="T216" s="683"/>
      <c r="U216" s="683"/>
      <c r="V216" s="683"/>
      <c r="W216" s="683"/>
      <c r="X216" s="683"/>
      <c r="Y216" s="706"/>
      <c r="Z216" s="259">
        <v>2864133</v>
      </c>
      <c r="AA216" s="259">
        <v>18884</v>
      </c>
      <c r="AB216" s="259">
        <v>1777</v>
      </c>
      <c r="AC216" s="259">
        <v>1430611</v>
      </c>
      <c r="AD216" s="259">
        <v>500218</v>
      </c>
      <c r="AE216" s="259">
        <v>100340</v>
      </c>
      <c r="AF216" s="259">
        <v>2112327</v>
      </c>
      <c r="AG216" s="259">
        <v>68077</v>
      </c>
      <c r="AH216" s="259">
        <v>1257</v>
      </c>
      <c r="AI216" s="259">
        <v>6501</v>
      </c>
      <c r="AJ216" s="259">
        <v>4654</v>
      </c>
      <c r="AK216" s="259">
        <v>1540240</v>
      </c>
      <c r="AL216" s="259">
        <v>1494591</v>
      </c>
      <c r="AM216" s="259">
        <v>280052</v>
      </c>
      <c r="AO216" s="145"/>
      <c r="AP216" s="145"/>
    </row>
    <row r="217" spans="1:42" s="177" customFormat="1">
      <c r="A217" s="702" t="s">
        <v>651</v>
      </c>
      <c r="B217" s="703"/>
      <c r="C217" s="703"/>
      <c r="D217" s="703"/>
      <c r="E217" s="703"/>
      <c r="F217" s="703"/>
      <c r="G217" s="703"/>
      <c r="H217" s="703"/>
      <c r="I217" s="703"/>
      <c r="J217" s="703"/>
      <c r="K217" s="703"/>
      <c r="L217" s="703"/>
      <c r="M217" s="703"/>
      <c r="N217" s="703"/>
      <c r="O217" s="703"/>
      <c r="P217" s="703"/>
      <c r="Q217" s="703"/>
      <c r="R217" s="703"/>
      <c r="S217" s="703"/>
      <c r="T217" s="703"/>
      <c r="U217" s="703"/>
      <c r="V217" s="703"/>
      <c r="W217" s="703"/>
      <c r="X217" s="703"/>
      <c r="Y217" s="704"/>
      <c r="Z217" s="175">
        <v>555866</v>
      </c>
      <c r="AA217" s="175">
        <v>-102407</v>
      </c>
      <c r="AB217" s="175">
        <v>-324268</v>
      </c>
      <c r="AC217" s="175">
        <v>461070</v>
      </c>
      <c r="AD217" s="175">
        <v>452241</v>
      </c>
      <c r="AE217" s="175">
        <v>-278375</v>
      </c>
      <c r="AF217" s="175">
        <v>1677961</v>
      </c>
      <c r="AG217" s="175">
        <v>-1092198</v>
      </c>
      <c r="AH217" s="175">
        <v>-51946</v>
      </c>
      <c r="AI217" s="175">
        <v>-56446</v>
      </c>
      <c r="AJ217" s="175">
        <v>-70295</v>
      </c>
      <c r="AK217" s="175">
        <v>1350087</v>
      </c>
      <c r="AL217" s="175">
        <v>1020235</v>
      </c>
      <c r="AM217" s="175">
        <v>-47039</v>
      </c>
      <c r="AO217" s="145"/>
      <c r="AP217" s="145"/>
    </row>
    <row r="218" spans="1:42" s="177" customFormat="1" ht="26.25">
      <c r="A218" s="407" t="s">
        <v>652</v>
      </c>
      <c r="B218" s="446"/>
      <c r="C218" s="562"/>
      <c r="D218" s="562"/>
      <c r="E218" s="562"/>
      <c r="F218" s="562"/>
      <c r="G218" s="562"/>
      <c r="H218" s="562"/>
      <c r="I218" s="562"/>
      <c r="J218" s="562"/>
      <c r="K218" s="562"/>
      <c r="L218" s="562"/>
      <c r="M218" s="562"/>
      <c r="N218" s="562"/>
      <c r="O218" s="562"/>
      <c r="P218" s="562"/>
      <c r="Q218" s="562"/>
      <c r="R218" s="562"/>
      <c r="S218" s="562"/>
      <c r="T218" s="562"/>
      <c r="U218" s="562"/>
      <c r="V218" s="562"/>
      <c r="W218" s="562"/>
      <c r="X218" s="562"/>
      <c r="Y218" s="447"/>
      <c r="Z218" s="269">
        <v>-105200</v>
      </c>
      <c r="AA218" s="269">
        <v>71458</v>
      </c>
      <c r="AB218" s="269">
        <v>-162516</v>
      </c>
      <c r="AC218" s="269">
        <v>223276</v>
      </c>
      <c r="AD218" s="269">
        <v>-209071</v>
      </c>
      <c r="AE218" s="269">
        <v>-7295</v>
      </c>
      <c r="AF218" s="269">
        <v>1999460</v>
      </c>
      <c r="AG218" s="269">
        <v>-1336474</v>
      </c>
      <c r="AH218" s="269">
        <v>-370856</v>
      </c>
      <c r="AI218" s="269">
        <v>34590</v>
      </c>
      <c r="AJ218" s="269">
        <v>279893</v>
      </c>
      <c r="AK218" s="269">
        <v>62992</v>
      </c>
      <c r="AL218" s="269">
        <v>-192917</v>
      </c>
      <c r="AM218" s="269">
        <v>326481</v>
      </c>
      <c r="AO218" s="145"/>
      <c r="AP218" s="145"/>
    </row>
    <row r="219" spans="1:42">
      <c r="A219" s="694" t="s">
        <v>697</v>
      </c>
      <c r="B219" s="695"/>
      <c r="C219" s="695"/>
      <c r="D219" s="695"/>
      <c r="E219" s="695"/>
      <c r="F219" s="695"/>
      <c r="G219" s="695"/>
      <c r="H219" s="695"/>
      <c r="I219" s="695"/>
      <c r="J219" s="695"/>
      <c r="K219" s="695"/>
      <c r="L219" s="695"/>
      <c r="M219" s="695"/>
      <c r="N219" s="695"/>
      <c r="O219" s="695"/>
      <c r="P219" s="695"/>
      <c r="Q219" s="695"/>
      <c r="R219" s="695"/>
      <c r="S219" s="695"/>
      <c r="T219" s="695"/>
      <c r="U219" s="695"/>
      <c r="V219" s="695"/>
      <c r="W219" s="695"/>
      <c r="X219" s="695"/>
      <c r="Y219" s="696"/>
      <c r="Z219" s="96">
        <v>2680</v>
      </c>
      <c r="AA219" s="96">
        <v>-1801</v>
      </c>
      <c r="AB219" s="96">
        <v>1500</v>
      </c>
      <c r="AC219" s="96">
        <v>-1096</v>
      </c>
      <c r="AD219" s="96">
        <v>-7</v>
      </c>
      <c r="AE219" s="96">
        <v>96</v>
      </c>
      <c r="AF219" s="145">
        <v>1045</v>
      </c>
      <c r="AG219" s="145">
        <v>686</v>
      </c>
      <c r="AH219" s="145">
        <v>3188</v>
      </c>
      <c r="AI219" s="145">
        <v>546</v>
      </c>
      <c r="AJ219" s="145">
        <v>-5368</v>
      </c>
      <c r="AK219" s="145">
        <v>1212</v>
      </c>
      <c r="AL219" s="145">
        <v>-702</v>
      </c>
      <c r="AM219" s="145">
        <v>-362</v>
      </c>
      <c r="AO219" s="145"/>
      <c r="AP219" s="145"/>
    </row>
    <row r="220" spans="1:42">
      <c r="A220" s="705" t="s">
        <v>381</v>
      </c>
      <c r="B220" s="683"/>
      <c r="C220" s="683"/>
      <c r="D220" s="683"/>
      <c r="E220" s="683"/>
      <c r="F220" s="683"/>
      <c r="G220" s="683"/>
      <c r="H220" s="683"/>
      <c r="I220" s="683"/>
      <c r="J220" s="683"/>
      <c r="K220" s="683"/>
      <c r="L220" s="683"/>
      <c r="M220" s="683"/>
      <c r="N220" s="683"/>
      <c r="O220" s="683"/>
      <c r="P220" s="683"/>
      <c r="Q220" s="683"/>
      <c r="R220" s="683"/>
      <c r="S220" s="683"/>
      <c r="T220" s="683"/>
      <c r="U220" s="683"/>
      <c r="V220" s="683"/>
      <c r="W220" s="683"/>
      <c r="X220" s="683"/>
      <c r="Y220" s="706"/>
      <c r="Z220" s="96">
        <v>327715</v>
      </c>
      <c r="AA220" s="96">
        <v>222515</v>
      </c>
      <c r="AB220" s="96">
        <v>293973</v>
      </c>
      <c r="AC220" s="96">
        <v>131457</v>
      </c>
      <c r="AD220" s="96">
        <v>354733</v>
      </c>
      <c r="AE220" s="96">
        <v>145662</v>
      </c>
      <c r="AF220" s="145">
        <v>138367</v>
      </c>
      <c r="AG220" s="145">
        <v>2137827</v>
      </c>
      <c r="AH220" s="145">
        <v>801353</v>
      </c>
      <c r="AI220" s="145">
        <v>430497</v>
      </c>
      <c r="AJ220" s="145">
        <v>465087</v>
      </c>
      <c r="AK220" s="145">
        <v>744980</v>
      </c>
      <c r="AL220" s="145">
        <v>807972</v>
      </c>
      <c r="AM220" s="145">
        <v>615055</v>
      </c>
      <c r="AO220" s="145"/>
      <c r="AP220" s="145"/>
    </row>
    <row r="221" spans="1:42">
      <c r="A221" s="418" t="s">
        <v>653</v>
      </c>
      <c r="B221" s="577"/>
      <c r="C221" s="577"/>
      <c r="D221" s="444"/>
      <c r="E221" s="577"/>
      <c r="F221" s="577"/>
      <c r="G221" s="577"/>
      <c r="H221" s="577"/>
      <c r="I221" s="577"/>
      <c r="J221" s="577"/>
      <c r="K221" s="577"/>
      <c r="L221" s="577"/>
      <c r="M221" s="577"/>
      <c r="N221" s="577"/>
      <c r="O221" s="577"/>
      <c r="P221" s="577"/>
      <c r="Q221" s="577"/>
      <c r="R221" s="577"/>
      <c r="S221" s="577"/>
      <c r="T221" s="577"/>
      <c r="U221" s="577"/>
      <c r="V221" s="577"/>
      <c r="W221" s="577"/>
      <c r="X221" s="577"/>
      <c r="Y221" s="445"/>
      <c r="Z221" s="96">
        <v>222515</v>
      </c>
      <c r="AA221" s="96">
        <v>293973</v>
      </c>
      <c r="AB221" s="96">
        <v>131457</v>
      </c>
      <c r="AC221" s="96">
        <v>354733</v>
      </c>
      <c r="AD221" s="96">
        <v>145662</v>
      </c>
      <c r="AE221" s="96">
        <v>138367</v>
      </c>
      <c r="AF221" s="145">
        <v>2137827</v>
      </c>
      <c r="AG221" s="145">
        <v>801353</v>
      </c>
      <c r="AH221" s="145">
        <v>430497</v>
      </c>
      <c r="AI221" s="145">
        <v>465087</v>
      </c>
      <c r="AJ221" s="145">
        <v>744980</v>
      </c>
      <c r="AK221" s="145">
        <v>807972</v>
      </c>
      <c r="AL221" s="145">
        <v>615055</v>
      </c>
      <c r="AM221" s="145">
        <v>941536</v>
      </c>
      <c r="AO221" s="145"/>
      <c r="AP221" s="145"/>
    </row>
    <row r="222" spans="1:42" s="258" customFormat="1">
      <c r="A222" s="707" t="s">
        <v>698</v>
      </c>
      <c r="B222" s="708"/>
      <c r="C222" s="708"/>
      <c r="D222" s="708"/>
      <c r="E222" s="708"/>
      <c r="F222" s="708"/>
      <c r="G222" s="708"/>
      <c r="H222" s="708"/>
      <c r="I222" s="708"/>
      <c r="J222" s="708"/>
      <c r="K222" s="708"/>
      <c r="L222" s="708"/>
      <c r="M222" s="708"/>
      <c r="N222" s="708"/>
      <c r="O222" s="708"/>
      <c r="P222" s="708"/>
      <c r="Q222" s="708"/>
      <c r="R222" s="708"/>
      <c r="S222" s="708"/>
      <c r="T222" s="708"/>
      <c r="U222" s="708"/>
      <c r="V222" s="708"/>
      <c r="W222" s="708"/>
      <c r="X222" s="708"/>
      <c r="Y222" s="709"/>
      <c r="Z222" s="153">
        <v>177743</v>
      </c>
      <c r="AA222" s="153">
        <v>1661</v>
      </c>
      <c r="AB222" s="153">
        <v>6784</v>
      </c>
      <c r="AC222" s="153">
        <v>-41784</v>
      </c>
      <c r="AD222" s="153">
        <v>141511</v>
      </c>
      <c r="AE222" s="153">
        <v>-6375</v>
      </c>
      <c r="AF222" s="153">
        <v>5352</v>
      </c>
      <c r="AG222" s="285">
        <f>68828-AF222-AE222-AD222</f>
        <v>-71660</v>
      </c>
      <c r="AH222" s="285">
        <v>67674</v>
      </c>
      <c r="AI222" s="285">
        <v>-1661</v>
      </c>
      <c r="AJ222" s="285">
        <v>9791</v>
      </c>
      <c r="AK222" s="285">
        <v>82079</v>
      </c>
      <c r="AL222" s="285">
        <v>229418</v>
      </c>
      <c r="AM222" s="285">
        <v>-10419</v>
      </c>
      <c r="AO222" s="145"/>
      <c r="AP222" s="145"/>
    </row>
    <row r="224" spans="1:42">
      <c r="AA224" s="145"/>
      <c r="AB224" s="145"/>
      <c r="AC224" s="145"/>
      <c r="AE224" s="145"/>
      <c r="AF224" s="145"/>
      <c r="AM224" s="145"/>
    </row>
    <row r="225" spans="26:37">
      <c r="Z225" s="145"/>
      <c r="AA225" s="145"/>
      <c r="AB225" s="145"/>
      <c r="AC225" s="145"/>
      <c r="AD225" s="145"/>
      <c r="AE225" s="145"/>
      <c r="AF225" s="145"/>
      <c r="AG225" s="145"/>
      <c r="AH225" s="145"/>
      <c r="AI225" s="145"/>
      <c r="AJ225" s="145"/>
      <c r="AK225" s="145"/>
    </row>
    <row r="226" spans="26:37">
      <c r="AI226" s="145"/>
      <c r="AJ226" s="145"/>
    </row>
    <row r="227" spans="26:37">
      <c r="AG227" s="145"/>
    </row>
  </sheetData>
  <mergeCells count="132">
    <mergeCell ref="Z108:AJ108"/>
    <mergeCell ref="AI87:AI88"/>
    <mergeCell ref="AI98:AI99"/>
    <mergeCell ref="AE98:AE99"/>
    <mergeCell ref="AF98:AF99"/>
    <mergeCell ref="AG98:AG99"/>
    <mergeCell ref="AH98:AH99"/>
    <mergeCell ref="AF87:AF88"/>
    <mergeCell ref="AG87:AG88"/>
    <mergeCell ref="AH87:AH88"/>
    <mergeCell ref="AB87:AB88"/>
    <mergeCell ref="AC87:AC88"/>
    <mergeCell ref="AD87:AD88"/>
    <mergeCell ref="AE87:AE88"/>
    <mergeCell ref="AD98:AD99"/>
    <mergeCell ref="Z98:Z99"/>
    <mergeCell ref="A222:Y222"/>
    <mergeCell ref="A212:Y212"/>
    <mergeCell ref="A213:Y213"/>
    <mergeCell ref="A214:Y214"/>
    <mergeCell ref="A216:Y216"/>
    <mergeCell ref="A217:Y217"/>
    <mergeCell ref="A219:Y219"/>
    <mergeCell ref="A205:Y205"/>
    <mergeCell ref="A206:Y206"/>
    <mergeCell ref="A207:Y207"/>
    <mergeCell ref="A209:Y209"/>
    <mergeCell ref="A210:Y210"/>
    <mergeCell ref="A211:Y211"/>
    <mergeCell ref="A197:Y197"/>
    <mergeCell ref="A187:Y187"/>
    <mergeCell ref="A188:Y188"/>
    <mergeCell ref="A189:Y189"/>
    <mergeCell ref="AA98:AA99"/>
    <mergeCell ref="AB98:AB99"/>
    <mergeCell ref="AC98:AC99"/>
    <mergeCell ref="AJ87:AJ88"/>
    <mergeCell ref="A220:Y220"/>
    <mergeCell ref="A199:Y199"/>
    <mergeCell ref="A200:Y200"/>
    <mergeCell ref="A201:Y201"/>
    <mergeCell ref="A202:Y202"/>
    <mergeCell ref="A203:Y203"/>
    <mergeCell ref="A204:Y204"/>
    <mergeCell ref="B170:K170"/>
    <mergeCell ref="L170:Q170"/>
    <mergeCell ref="B171:K171"/>
    <mergeCell ref="L171:Q171"/>
    <mergeCell ref="A190:Y190"/>
    <mergeCell ref="A193:Y193"/>
    <mergeCell ref="A194:Y194"/>
    <mergeCell ref="A195:Y195"/>
    <mergeCell ref="A196:Y196"/>
    <mergeCell ref="A183:Y183"/>
    <mergeCell ref="A184:Y184"/>
    <mergeCell ref="A186:Y186"/>
    <mergeCell ref="B172:K172"/>
    <mergeCell ref="L172:Q172"/>
    <mergeCell ref="B173:K173"/>
    <mergeCell ref="L173:Q173"/>
    <mergeCell ref="B174:K174"/>
    <mergeCell ref="B105:B106"/>
    <mergeCell ref="C105:C106"/>
    <mergeCell ref="D105:D106"/>
    <mergeCell ref="F105:F106"/>
    <mergeCell ref="G105:G106"/>
    <mergeCell ref="H105:H106"/>
    <mergeCell ref="J105:J106"/>
    <mergeCell ref="L105:L106"/>
    <mergeCell ref="B176:K176"/>
    <mergeCell ref="B177:K177"/>
    <mergeCell ref="A179:Y179"/>
    <mergeCell ref="A180:Y180"/>
    <mergeCell ref="A181:Y181"/>
    <mergeCell ref="A182:Y182"/>
    <mergeCell ref="B175:K175"/>
    <mergeCell ref="B109:Y109"/>
    <mergeCell ref="J91:J92"/>
    <mergeCell ref="Z87:Z88"/>
    <mergeCell ref="AA87:AA88"/>
    <mergeCell ref="K91:K92"/>
    <mergeCell ref="L91:L92"/>
    <mergeCell ref="B49:B51"/>
    <mergeCell ref="C49:C51"/>
    <mergeCell ref="D49:D51"/>
    <mergeCell ref="E49:E51"/>
    <mergeCell ref="F49:F51"/>
    <mergeCell ref="G49:G51"/>
    <mergeCell ref="H49:H51"/>
    <mergeCell ref="J49:J51"/>
    <mergeCell ref="K49:K51"/>
    <mergeCell ref="V50:V51"/>
    <mergeCell ref="L49:L51"/>
    <mergeCell ref="N49:N51"/>
    <mergeCell ref="O49:O51"/>
    <mergeCell ref="P49:P51"/>
    <mergeCell ref="I50:I51"/>
    <mergeCell ref="M50:M51"/>
    <mergeCell ref="B17:Y18"/>
    <mergeCell ref="AD19:AG19"/>
    <mergeCell ref="Z61:AJ62"/>
    <mergeCell ref="B60:Y60"/>
    <mergeCell ref="B63:Y63"/>
    <mergeCell ref="Q50:Q51"/>
    <mergeCell ref="R50:R51"/>
    <mergeCell ref="S50:S51"/>
    <mergeCell ref="T50:T51"/>
    <mergeCell ref="U50:U51"/>
    <mergeCell ref="Z8:AM8"/>
    <mergeCell ref="Z11:AM11"/>
    <mergeCell ref="Z15:AM16"/>
    <mergeCell ref="AH19:AM19"/>
    <mergeCell ref="AM87:AM88"/>
    <mergeCell ref="AM98:AM99"/>
    <mergeCell ref="AL87:AL88"/>
    <mergeCell ref="AL98:AL99"/>
    <mergeCell ref="Z103:AL103"/>
    <mergeCell ref="B13:AC13"/>
    <mergeCell ref="B100:Y102"/>
    <mergeCell ref="B91:B92"/>
    <mergeCell ref="C91:C92"/>
    <mergeCell ref="D91:D92"/>
    <mergeCell ref="F91:F92"/>
    <mergeCell ref="G91:G92"/>
    <mergeCell ref="H91:H92"/>
    <mergeCell ref="W50:W51"/>
    <mergeCell ref="X50:X51"/>
    <mergeCell ref="Y50:Y51"/>
    <mergeCell ref="AK87:AK88"/>
    <mergeCell ref="AK98:AK99"/>
    <mergeCell ref="AJ98:AJ99"/>
    <mergeCell ref="B12:Y12"/>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4.xml><?xml version="1.0" encoding="utf-8"?>
<?mso-contentType ?>
<SharedContentType xmlns="Microsoft.SharePoint.Taxonomy.ContentTypeSync" SourceId="eb2a8273-9a15-469e-bf73-8c82820d6d23" ContentTypeId="0x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2A41E-752B-474F-9EBC-89919E64A258}">
  <ds:schemaRefs>
    <ds:schemaRef ds:uri="http://schemas.microsoft.com/PowerBIAddIn"/>
  </ds:schemaRefs>
</ds:datastoreItem>
</file>

<file path=customXml/itemProps2.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F9CEF-5802-4AB9-A055-569AD9D49429}">
  <ds:schemaRefs>
    <ds:schemaRef ds:uri="http://schemas.openxmlformats.org/package/2006/metadata/core-properties"/>
    <ds:schemaRef ds:uri="9c8f6458-4d42-49b8-9f3f-ece57977215a"/>
    <ds:schemaRef ds:uri="http://schemas.microsoft.com/office/infopath/2007/PartnerControls"/>
    <ds:schemaRef ds:uri="http://schemas.microsoft.com/office/2006/metadata/properties"/>
    <ds:schemaRef ds:uri="http://purl.org/dc/terms/"/>
    <ds:schemaRef ds:uri="http://schemas.microsoft.com/office/2006/documentManagement/types"/>
    <ds:schemaRef ds:uri="031368eb-02cf-4152-9b0a-654813f6c8e5"/>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5.xml><?xml version="1.0" encoding="utf-8"?>
<ds:datastoreItem xmlns:ds="http://schemas.openxmlformats.org/officeDocument/2006/customXml" ds:itemID="{CE0D245D-EC38-4572-9819-D83417A9A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2019-09-24T08:33:10Z</cp:lastPrinted>
  <dcterms:created xsi:type="dcterms:W3CDTF">2016-07-29T07:12:06Z</dcterms:created>
  <dcterms:modified xsi:type="dcterms:W3CDTF">2019-09-30T14:55:57Z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