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revisions/revisionLog52.xml" ContentType="application/vnd.openxmlformats-officedocument.spreadsheetml.revisionLo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userNames.xml" ContentType="application/vnd.openxmlformats-officedocument.spreadsheetml.userNames+xml"/>
  <Override PartName="/xl/revisions/revisionLog42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4.xml" ContentType="application/vnd.openxmlformats-officedocument.spreadsheetml.revisionLog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msiwczyk\Documents\"/>
    </mc:Choice>
  </mc:AlternateContent>
  <bookViews>
    <workbookView xWindow="0" yWindow="0" windowWidth="25200" windowHeight="12135" tabRatio="796" activeTab="1"/>
  </bookViews>
  <sheets>
    <sheet name="Podstawowe Parametry" sheetId="1" r:id="rId1"/>
    <sheet name="Zainstalowana moc" sheetId="2" r:id="rId2"/>
    <sheet name="Wyniki segmentów" sheetId="3" r:id="rId3"/>
    <sheet name="Inwestycje" sheetId="4" r:id="rId4"/>
    <sheet name="Rach. zysków i strat" sheetId="5" r:id="rId5"/>
    <sheet name="Bilans" sheetId="6" r:id="rId6"/>
    <sheet name="Rach. przepływów pieniężnych" sheetId="7" r:id="rId7"/>
    <sheet name="Hist. dane kwartalne" sheetId="8" r:id="rId8"/>
    <sheet name="Hist. dane półroczne" sheetId="9" r:id="rId9"/>
    <sheet name="Hist. dane roczne" sheetId="10" r:id="rId10"/>
  </sheets>
  <externalReferences>
    <externalReference r:id="rId11"/>
  </externalReferences>
  <calcPr calcId="152511" calcMode="manual" concurrentCalc="0"/>
  <customWorkbookViews>
    <customWorkbookView name="Marcin Siwczyk - Widok osobisty" guid="{627AEB6E-B9F1-415E-9A60-881757A50C67}" mergeInterval="0" personalView="1" maximized="1" xWindow="-8" yWindow="-8" windowWidth="1616" windowHeight="876" tabRatio="796" activeSheetId="2"/>
    <customWorkbookView name="Otto Sonia - Widok osobisty" guid="{AAA495E0-27FD-4941-85B8-9038B6AD4FA3}" mergeInterval="0" personalView="1" maximized="1" xWindow="-8" yWindow="-8" windowWidth="1936" windowHeight="1056" tabRatio="796" activeSheetId="7"/>
    <customWorkbookView name="Maciejczyk Ewa - Widok osobisty" guid="{874BA5F8-BD95-4DDF-8F31-98DB154CA965}" mergeInterval="0" personalView="1" maximized="1" xWindow="-8" yWindow="-8" windowWidth="1936" windowHeight="1056" tabRatio="796" activeSheetId="7"/>
    <customWorkbookView name="Wiechecka Irena - Widok osobisty" guid="{77EFF5B1-32BE-4080-9902-B97F43099026}" mergeInterval="0" personalView="1" xWindow="376" windowWidth="1123" windowHeight="860" tabRatio="79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D32" i="2"/>
  <c r="D44" i="2"/>
  <c r="C32" i="2"/>
  <c r="C40" i="2"/>
  <c r="C44" i="2"/>
  <c r="G8" i="4"/>
  <c r="G7" i="4"/>
  <c r="G6" i="4"/>
  <c r="G9" i="4"/>
  <c r="G5" i="4"/>
  <c r="G4" i="4"/>
  <c r="F8" i="4"/>
  <c r="F7" i="4"/>
  <c r="F6" i="4"/>
  <c r="F9" i="4"/>
  <c r="F5" i="4"/>
  <c r="F4" i="4"/>
  <c r="D8" i="4"/>
  <c r="D7" i="4"/>
  <c r="D6" i="4"/>
  <c r="D5" i="4"/>
  <c r="D4" i="4"/>
  <c r="C8" i="4"/>
  <c r="C7" i="4"/>
  <c r="C9" i="4"/>
  <c r="C6" i="4"/>
  <c r="C5" i="4"/>
  <c r="C4" i="4"/>
  <c r="D9" i="4"/>
  <c r="N148" i="9"/>
  <c r="I102" i="8"/>
  <c r="I100" i="8"/>
  <c r="I98" i="8"/>
  <c r="I96" i="8"/>
  <c r="I95" i="8"/>
  <c r="I94" i="8"/>
  <c r="I86" i="8"/>
  <c r="I85" i="8"/>
  <c r="I84" i="8"/>
  <c r="I75" i="8"/>
  <c r="I73" i="8"/>
  <c r="I71" i="8"/>
  <c r="I70" i="8"/>
  <c r="G148" i="10"/>
  <c r="F148" i="10"/>
  <c r="E148" i="10"/>
  <c r="D148" i="10"/>
  <c r="F58" i="10"/>
  <c r="E58" i="10"/>
  <c r="D58" i="10"/>
  <c r="C58" i="10"/>
  <c r="B58" i="10"/>
  <c r="F24" i="10"/>
  <c r="F25" i="10"/>
  <c r="F26" i="10"/>
  <c r="I148" i="9"/>
  <c r="G148" i="9"/>
  <c r="D129" i="9"/>
  <c r="L127" i="9"/>
  <c r="F90" i="9"/>
  <c r="D90" i="9"/>
  <c r="B90" i="9"/>
  <c r="J59" i="9"/>
  <c r="I59" i="9"/>
  <c r="H59" i="9"/>
  <c r="G59" i="9"/>
  <c r="F59" i="9"/>
  <c r="E59" i="9"/>
  <c r="D59" i="9"/>
  <c r="C59" i="9"/>
  <c r="B59" i="9"/>
  <c r="F25" i="9"/>
  <c r="F26" i="9"/>
  <c r="H18" i="9"/>
  <c r="H17" i="9"/>
  <c r="H16" i="9"/>
  <c r="H12" i="9"/>
  <c r="H7" i="9"/>
  <c r="H6" i="9"/>
  <c r="H5" i="9"/>
  <c r="V148" i="8"/>
  <c r="N148" i="8"/>
  <c r="W127" i="8"/>
  <c r="Y98" i="8"/>
  <c r="G90" i="8"/>
  <c r="Y86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M44" i="8"/>
  <c r="I44" i="8"/>
  <c r="O6" i="8"/>
  <c r="O5" i="8"/>
  <c r="AO23" i="4"/>
  <c r="AN23" i="4"/>
  <c r="AL23" i="4"/>
  <c r="AK23" i="4"/>
  <c r="AI23" i="4"/>
  <c r="AH23" i="4"/>
  <c r="AR12" i="4"/>
  <c r="AQ12" i="4"/>
  <c r="AO12" i="4"/>
  <c r="AN12" i="4"/>
  <c r="AL12" i="4"/>
  <c r="AK12" i="4"/>
  <c r="AI12" i="4"/>
  <c r="AH12" i="4"/>
  <c r="AE9" i="4"/>
  <c r="AD9" i="4"/>
  <c r="AB9" i="4"/>
  <c r="AA9" i="4"/>
  <c r="Y9" i="4"/>
  <c r="X9" i="4"/>
  <c r="V9" i="4"/>
  <c r="U9" i="4"/>
  <c r="S9" i="4"/>
  <c r="R9" i="4"/>
  <c r="P9" i="4"/>
  <c r="O9" i="4"/>
  <c r="M9" i="4"/>
  <c r="L9" i="4"/>
  <c r="J9" i="4"/>
  <c r="I9" i="4"/>
  <c r="C22" i="2"/>
  <c r="D3" i="2"/>
  <c r="D28" i="2"/>
  <c r="D31" i="2"/>
  <c r="C3" i="2"/>
  <c r="C7" i="2"/>
  <c r="C10" i="2"/>
  <c r="C13" i="2"/>
  <c r="C18" i="2"/>
  <c r="C28" i="2"/>
  <c r="C35" i="2"/>
  <c r="C16" i="2"/>
</calcChain>
</file>

<file path=xl/sharedStrings.xml><?xml version="1.0" encoding="utf-8"?>
<sst xmlns="http://schemas.openxmlformats.org/spreadsheetml/2006/main" count="1224" uniqueCount="548">
  <si>
    <t>Podstawowe parametry</t>
  </si>
  <si>
    <t>Jednostka</t>
  </si>
  <si>
    <t>I kwartał 
2016 r.</t>
  </si>
  <si>
    <t>I kwartał 
2015 r.</t>
  </si>
  <si>
    <t>2015 r.</t>
  </si>
  <si>
    <t>2014 r.</t>
  </si>
  <si>
    <t>IV kwartał 2015 r.</t>
  </si>
  <si>
    <t>IV kwartał 2014 r.</t>
  </si>
  <si>
    <t>Za okres
9 miesięcy 2015 r.</t>
  </si>
  <si>
    <t>Za okres
9 miesięcy 2014 r.</t>
  </si>
  <si>
    <t>III kwartał 2015 r.</t>
  </si>
  <si>
    <t>III kwartał 2014 r.</t>
  </si>
  <si>
    <t>I półrocze 2015 r.</t>
  </si>
  <si>
    <t>I półrocze 2014 r.</t>
  </si>
  <si>
    <t>II kwartał 2015 r.</t>
  </si>
  <si>
    <t>II kwartał 2014 r.</t>
  </si>
  <si>
    <t>I kwartał 2015 r.</t>
  </si>
  <si>
    <t>I kwartał 2014 r.</t>
  </si>
  <si>
    <t>2013 r.</t>
  </si>
  <si>
    <t>IV kwartał 2013 r.</t>
  </si>
  <si>
    <t>Za okres
9 miesięcy 2013 r.</t>
  </si>
  <si>
    <t>Za III kwartał 2014 r.</t>
  </si>
  <si>
    <t>Za III kwartał 2013 r.</t>
  </si>
  <si>
    <t>Za okres 
I półrocza 2014 r.</t>
  </si>
  <si>
    <t>Za okres 
I półrocza 2013 r.</t>
  </si>
  <si>
    <t>Za okres 
II kwartału 2014 r.</t>
  </si>
  <si>
    <t>Za okres 
II kwartału 2013 r.</t>
  </si>
  <si>
    <t>Za okres 
I kwartału 2014 r.</t>
  </si>
  <si>
    <t>Za okres 
I kwartału 2013 r.</t>
  </si>
  <si>
    <t>Przychody ze sprzedaży</t>
  </si>
  <si>
    <t>tys. zł</t>
  </si>
  <si>
    <t>EBITDA</t>
  </si>
  <si>
    <t>Zysk netto</t>
  </si>
  <si>
    <t>CAPEX</t>
  </si>
  <si>
    <t>Dług netto/EBITDA</t>
  </si>
  <si>
    <t>Produkcja węgla</t>
  </si>
  <si>
    <t>mln t</t>
  </si>
  <si>
    <t>Wytwarzanie energii elektrycznej</t>
  </si>
  <si>
    <t>TWh</t>
  </si>
  <si>
    <t>Dystrybucja energii elektrycznej</t>
  </si>
  <si>
    <t>Sprzedaż detaliczna energii elektrycznej</t>
  </si>
  <si>
    <t>Lista jednostek wytwórczych Grupy TAURON</t>
  </si>
  <si>
    <t>Nazwa jednostki</t>
  </si>
  <si>
    <t>Rodzaj jednostki</t>
  </si>
  <si>
    <t>Energia elektryczna (MWe)*</t>
  </si>
  <si>
    <t>Ciepło (MWt)*</t>
  </si>
  <si>
    <t>Jaworzno III</t>
  </si>
  <si>
    <t>Elektrownia</t>
  </si>
  <si>
    <t>Jaworzno II (bloki 2 i 3)</t>
  </si>
  <si>
    <t>Jaworzno III (bloki 1-6)</t>
  </si>
  <si>
    <t>blok biomasowy</t>
  </si>
  <si>
    <t>Łaziska</t>
  </si>
  <si>
    <t>Bloki 1 i 2</t>
  </si>
  <si>
    <t>Bloki 9-12</t>
  </si>
  <si>
    <t>Łagisza</t>
  </si>
  <si>
    <t>Bloki 5-7</t>
  </si>
  <si>
    <t>Blok 10</t>
  </si>
  <si>
    <t>Siersza</t>
  </si>
  <si>
    <t>Bloki 1-2</t>
  </si>
  <si>
    <t>Bloki 3, 5 i 6</t>
  </si>
  <si>
    <t>Blachownia</t>
  </si>
  <si>
    <t>od 10 grudnia 2014 r. przekazana do spółki TAMEH Polska</t>
  </si>
  <si>
    <t>Układ kolektorowy</t>
  </si>
  <si>
    <t>Stalowa Wola</t>
  </si>
  <si>
    <t>Bloki 7-8</t>
  </si>
  <si>
    <t>SEGMENT WYTWARZANIE</t>
  </si>
  <si>
    <t>ZW Tychy (blok biomasowy)</t>
  </si>
  <si>
    <t>Elektrociepłownia</t>
  </si>
  <si>
    <t>ZW Nowa</t>
  </si>
  <si>
    <t>ZW Katowice</t>
  </si>
  <si>
    <t>ZW Bielsko-Biała</t>
  </si>
  <si>
    <t>EC-1</t>
  </si>
  <si>
    <t>EC-2</t>
  </si>
  <si>
    <t>Pozostałe źródła (ciepłownie lokalne i Kamienna Góra)</t>
  </si>
  <si>
    <t>-</t>
  </si>
  <si>
    <t>SEGMENT CIEPŁO</t>
  </si>
  <si>
    <t>Elektrownie wodne</t>
  </si>
  <si>
    <t>Farmy wiatrowe</t>
  </si>
  <si>
    <t>Zagórze</t>
  </si>
  <si>
    <t>Lipniki</t>
  </si>
  <si>
    <t>Marszewo</t>
  </si>
  <si>
    <t>Wicko</t>
  </si>
  <si>
    <t>SEGMENT OZE</t>
  </si>
  <si>
    <t>* moc zainstalowana</t>
  </si>
  <si>
    <t>GRUPA razem</t>
  </si>
  <si>
    <t>Wyniki segmentów</t>
  </si>
  <si>
    <t>Dane w tys. zł</t>
  </si>
  <si>
    <t>Przychody ze sprzedaży 
za I kwartał 2016 r.</t>
  </si>
  <si>
    <t>EBITDA 
za I kwartał 2016 r.</t>
  </si>
  <si>
    <t>EBIT 
za I kwartał 2016 r.</t>
  </si>
  <si>
    <t>Aktywa ogółem 
na dzień 31 marca 2016 r.</t>
  </si>
  <si>
    <t>Przychody ze sprzedaży 
2015 r.</t>
  </si>
  <si>
    <t>EBITDA 
2015 r.</t>
  </si>
  <si>
    <t>EBIT 
2015 r.</t>
  </si>
  <si>
    <t>Aktywa ogółem na dzień 
31 grudnia 2015 r.</t>
  </si>
  <si>
    <t>Przychody ze sprzedaży 
za IV kwartał 2015 r.</t>
  </si>
  <si>
    <t>EBITDA 
za IV kwartał 2015 r.</t>
  </si>
  <si>
    <t>EBIT 
za IV kwartał 2015 r.</t>
  </si>
  <si>
    <t>Przychody ze sprzedaży 
za 9M 2015 r.</t>
  </si>
  <si>
    <t>EBITDA 
za 9M 2015 r.</t>
  </si>
  <si>
    <t>EBIT 
za 9M 2015 r.</t>
  </si>
  <si>
    <t>Aktywa ogółem na dzień 
30 września 2015 r.</t>
  </si>
  <si>
    <t>Przychody ze sprzedaży 
za III kwartał 2015 r.</t>
  </si>
  <si>
    <t>EBITDA 
za III kwartał 2015 r.</t>
  </si>
  <si>
    <t>EBIT 
za III kwartał 2015 r.</t>
  </si>
  <si>
    <t>Przychody ze sprzedaży 
za I półrocze 2015 r.</t>
  </si>
  <si>
    <t>EBITDA 
za I półrocze 2015 r.</t>
  </si>
  <si>
    <t>EBIT 
za I półrocze 2015 r.</t>
  </si>
  <si>
    <t>Aktywa ogółem 
na dzień 30 czerwca 2015 r.</t>
  </si>
  <si>
    <t>Przychody ze sprzedaży 
za II kwartał 2015 r.</t>
  </si>
  <si>
    <t>EBITDA 
za II kwartał 2015 r.</t>
  </si>
  <si>
    <t>EBIT 
za II kwartał 2015 r.</t>
  </si>
  <si>
    <t>Przychody ze sprzedaży 
za I kwartał 2015 r.</t>
  </si>
  <si>
    <t>EBITDA 
za I kwartał 2015 r.</t>
  </si>
  <si>
    <t>EBIT 
za I kwartał 2015 r.</t>
  </si>
  <si>
    <t>Aktywa ogółem 
na dzień 31 marca 2015 r.</t>
  </si>
  <si>
    <t>Przychody ze sprzedaży za 2014 r.</t>
  </si>
  <si>
    <t>EBITDA 
za 2014 r.</t>
  </si>
  <si>
    <t>EBIT 
za 2014 r.</t>
  </si>
  <si>
    <t>Aktywa ogółem na dzień 31 grudnia 2014 r.</t>
  </si>
  <si>
    <t>Przychody ze sprzedaży 
za 9M 2014 r.</t>
  </si>
  <si>
    <t>EBITDA 
za 9M 2014 r.</t>
  </si>
  <si>
    <t>EBIT 
za 9M 2014 r.</t>
  </si>
  <si>
    <t>Aktywa ogółem na dzień 30 września 2014 r.</t>
  </si>
  <si>
    <t>Przychody ze sprzedaży za IH 2014 r.</t>
  </si>
  <si>
    <t>EBITDA 
za IH 2014 r.</t>
  </si>
  <si>
    <t>EBIT 
za IH 2014 r.</t>
  </si>
  <si>
    <t>Aktywa ogółem na dzień 30 czerwca 2014 r.</t>
  </si>
  <si>
    <t>Segment Wydobycie</t>
  </si>
  <si>
    <t>Segment Wytwarzanie</t>
  </si>
  <si>
    <t>Segment Dystrybucja</t>
  </si>
  <si>
    <t>Segment OZE</t>
  </si>
  <si>
    <t>Segment Sprzedaż</t>
  </si>
  <si>
    <t>Segment Ciepło</t>
  </si>
  <si>
    <t>Pozostałe</t>
  </si>
  <si>
    <t>Segment Obsługa Klienta</t>
  </si>
  <si>
    <t>Przychody ze sprzedaży 
2014 r.</t>
  </si>
  <si>
    <t>EBITDA 
2014 r.</t>
  </si>
  <si>
    <t>EBIT 
2014 r.</t>
  </si>
  <si>
    <t>Aktywa ogółem na dzień 
31 grudnia 2014 r.</t>
  </si>
  <si>
    <t>Przychody ze sprzedaży 
za IV kwartał 2014 r.</t>
  </si>
  <si>
    <t>EBITDA 
za IV kwartał 2014 r.</t>
  </si>
  <si>
    <t>EBIT 
za IV kwartał 2014 r.</t>
  </si>
  <si>
    <t>Aktywa ogółem na dzień 
30 września 2014 r.</t>
  </si>
  <si>
    <t>Przychody ze sprzedaży 
za III kwartał 2014 r.</t>
  </si>
  <si>
    <t>EBITDA 
za III kwartał 2014 r.</t>
  </si>
  <si>
    <t>EBIT 
za III kwartał 2014 r.</t>
  </si>
  <si>
    <t>Przychody ze sprzedaży 
za I półrocze 2014 r.</t>
  </si>
  <si>
    <t>EBITDA 
za I półrocze 2014 r.</t>
  </si>
  <si>
    <t>EBIT 
za I półrocze 2014 r.</t>
  </si>
  <si>
    <t>Aktywa ogółem 
na dzień 30 czerwca 2014 r.</t>
  </si>
  <si>
    <t>Przychody ze sprzedaży 
za II kwartał 2014 r.</t>
  </si>
  <si>
    <t>EBITDA 
za II kwartał 2014 r.</t>
  </si>
  <si>
    <t>EBIT 
za II kwartał 2014 r.</t>
  </si>
  <si>
    <t>Przychody ze sprzedaży 
za I kwartał 2014 r.</t>
  </si>
  <si>
    <t>EBITDA 
za I kwartał 2014 r.</t>
  </si>
  <si>
    <t>EBIT 
za I kwartał 2014 r.</t>
  </si>
  <si>
    <t>Aktywa ogółem 
na dzień 31 marca 2014 r.</t>
  </si>
  <si>
    <t>Przychody ze sprzedaży 
za 2013 r.</t>
  </si>
  <si>
    <t>EBITDA 
za 2013 r.</t>
  </si>
  <si>
    <t>EBIT 
za 2013 r.</t>
  </si>
  <si>
    <t>Aktywa ogółem na dzień 31 grudnia 2013 r.</t>
  </si>
  <si>
    <t>Przychody ze sprzedaży 
za 9M 2013 r.</t>
  </si>
  <si>
    <t>EBITDA 
za 9M 2013 r.</t>
  </si>
  <si>
    <t>EBIT 
za 9M 2013 r.</t>
  </si>
  <si>
    <t>Aktywa ogółem na dzień 30 września 2013 r.</t>
  </si>
  <si>
    <t>Przychody ze sprzedaży za IH 2013 r.</t>
  </si>
  <si>
    <t>EBITDA 
za IH 2013 r.</t>
  </si>
  <si>
    <t>EBIT 
za IH 2013 r.</t>
  </si>
  <si>
    <t>Aktywa ogółem na dzień 30 czerwca 2013 r.</t>
  </si>
  <si>
    <t>Przychody ze sprzedaży 
za IVQ 2014 r.</t>
  </si>
  <si>
    <t>EBITDA 
za IVQ 2014 r.</t>
  </si>
  <si>
    <t>EBIT 
za IVQ 2014 r.</t>
  </si>
  <si>
    <t>Przychody ze sprzedaży 
za IIIQ 2014 r.</t>
  </si>
  <si>
    <t>EBITDA 
za IIIQ 2014 r.</t>
  </si>
  <si>
    <t>EBIT 
za IIIQ 2014 r.</t>
  </si>
  <si>
    <t>Przychody ze sprzedaży za IIQ 2014 r.</t>
  </si>
  <si>
    <t>EBITDA 
za IIQ 2014 r.</t>
  </si>
  <si>
    <t>EBIT 
za IIQ 2014 r.</t>
  </si>
  <si>
    <t>Przychody ze sprzedaży 
za IVQ 2013 r.</t>
  </si>
  <si>
    <t>EBITDA 
za IVQ 2013 r.</t>
  </si>
  <si>
    <t>EBIT 
za IVQ 2013 r.</t>
  </si>
  <si>
    <t>Przychody ze sprzedaży 
za IIIQ 2013 r.</t>
  </si>
  <si>
    <t>EBITDA 
za IIIQ 2013 r.</t>
  </si>
  <si>
    <t>EBIT 
za IIIQ 2013 r.</t>
  </si>
  <si>
    <t>Przychody ze sprzedaży za IIQ 2013 r.</t>
  </si>
  <si>
    <t>EBITDA 
za IIQ 2013 r.</t>
  </si>
  <si>
    <t>EBIT 
za IIQ 2013 r.</t>
  </si>
  <si>
    <t>Nakłady inwestycyjne</t>
  </si>
  <si>
    <t>narastająco</t>
  </si>
  <si>
    <t>kwartał</t>
  </si>
  <si>
    <t>9M 2014 r.</t>
  </si>
  <si>
    <t>9M 2013 r.</t>
  </si>
  <si>
    <t>IH 2014 r.</t>
  </si>
  <si>
    <t>IH 2013 r.</t>
  </si>
  <si>
    <t>2012 r.</t>
  </si>
  <si>
    <t>Grupa</t>
  </si>
  <si>
    <t>IVQ 2014 r.</t>
  </si>
  <si>
    <t>IVQ 2013 r.</t>
  </si>
  <si>
    <t>IIIQ 2014 r.</t>
  </si>
  <si>
    <t>IIIQ 2013 r.</t>
  </si>
  <si>
    <t>IIQ 2014 r.</t>
  </si>
  <si>
    <t>IIQ 2013 r.</t>
  </si>
  <si>
    <t>Rachunek zysków i strat</t>
  </si>
  <si>
    <t xml:space="preserve">Nota
</t>
  </si>
  <si>
    <t xml:space="preserve">Przychody ze sprzedaży </t>
  </si>
  <si>
    <t>Koszt sprzedanych towarów, produktów, materiałów i usług</t>
  </si>
  <si>
    <t>Zysk brutto ze sprzedaży</t>
  </si>
  <si>
    <t>Koszty sprzedaży</t>
  </si>
  <si>
    <t>Koszty ogólnego zarządu</t>
  </si>
  <si>
    <t>Pozostałe przychody i koszty operacyjne</t>
  </si>
  <si>
    <t>Zysk operacyjny</t>
  </si>
  <si>
    <t>Udział w zyskach (stratach) wspólnych przedsięwzięć</t>
  </si>
  <si>
    <t>Przychody finansowe</t>
  </si>
  <si>
    <t>Koszty odsetkowe od zadłużenia</t>
  </si>
  <si>
    <t>Pozostałe koszty finansowe</t>
  </si>
  <si>
    <t>Zysk przed opodatkowaniem</t>
  </si>
  <si>
    <t>Podatek dochodowy</t>
  </si>
  <si>
    <t xml:space="preserve">Zysk netto </t>
  </si>
  <si>
    <t>Wycena instrumentów zabezpieczających</t>
  </si>
  <si>
    <t>Różnice kursowe z przeliczenia jednostki zagranicznej</t>
  </si>
  <si>
    <t xml:space="preserve">Podatek dochodowy </t>
  </si>
  <si>
    <t>Pozostałe całkowite dochody podlegające przeklasyfikowaniu 
w wynik finansowy</t>
  </si>
  <si>
    <t xml:space="preserve">Zyski/(straty) aktuarialne </t>
  </si>
  <si>
    <t xml:space="preserve">Udział w pozostałych całkowitych dochodach wspólnych przedsięwzięć </t>
  </si>
  <si>
    <t>Pozostałe całkowite dochody nie podlegające przeklasyfikowaniu w wynik finansowy</t>
  </si>
  <si>
    <t>Pozostałe całkowite dochody netto</t>
  </si>
  <si>
    <t xml:space="preserve">Łączne całkowite dochody </t>
  </si>
  <si>
    <t>Zysk netto przypadający:</t>
  </si>
  <si>
    <t>Akcjonariuszom jednostki dominującej</t>
  </si>
  <si>
    <t>Udziałom niekontrolującym</t>
  </si>
  <si>
    <t>Całkowity dochód przypadający:</t>
  </si>
  <si>
    <t>Zysk na jedną akcję podstawowy i rozwodniony (w złotych)</t>
  </si>
  <si>
    <t>Bilans</t>
  </si>
  <si>
    <t>Nota</t>
  </si>
  <si>
    <t>Stan na 
31 grudnia 2015</t>
  </si>
  <si>
    <t>AKTYWA</t>
  </si>
  <si>
    <t>Aktywa trwałe</t>
  </si>
  <si>
    <t>Rzeczowe aktywa trwałe</t>
  </si>
  <si>
    <t>Wartość firmy</t>
  </si>
  <si>
    <t>Świadectwa energii i prawa do emisji gazów do umorzenia</t>
  </si>
  <si>
    <t>19.1</t>
  </si>
  <si>
    <t>Pozostałe aktywa niematerialne</t>
  </si>
  <si>
    <t>Udziały i akcje we wspólnych przedsięwzięciach</t>
  </si>
  <si>
    <t>Pożyczki udzielone na rzecz wspólnych przedsięwzięć</t>
  </si>
  <si>
    <t>Pozostałe aktywa finansowe</t>
  </si>
  <si>
    <t>Pozostałe aktywa niefinansowe</t>
  </si>
  <si>
    <t>24.1</t>
  </si>
  <si>
    <t>Aktywa z tytułu odroczonego podatku dochodowego</t>
  </si>
  <si>
    <t>15.2</t>
  </si>
  <si>
    <t>Aktywa obrotowe</t>
  </si>
  <si>
    <t>19.2</t>
  </si>
  <si>
    <t>Zapasy</t>
  </si>
  <si>
    <t xml:space="preserve">Należności od odbiorców </t>
  </si>
  <si>
    <t>Należności z tytułu podatków i opłat</t>
  </si>
  <si>
    <t>24.2</t>
  </si>
  <si>
    <t>Środki pieniężne i ich ekwiwalenty</t>
  </si>
  <si>
    <t>Aktywa trwałe zaklasyfikowane jako przeznaczone do sprzedaży</t>
  </si>
  <si>
    <t>SUMA AKTYWÓW</t>
  </si>
  <si>
    <t>PASYWA</t>
  </si>
  <si>
    <t>Kapitał własny przypadający akcjonariuszom jednostki dominującej</t>
  </si>
  <si>
    <t>Kapitał podstawowy</t>
  </si>
  <si>
    <t>29.1</t>
  </si>
  <si>
    <t>Kapitał zapasowy</t>
  </si>
  <si>
    <t>Kapitał z aktualizacji wyceny instrumentów zabezpieczających</t>
  </si>
  <si>
    <t>29.2</t>
  </si>
  <si>
    <t>Zyski zatrzymane/(Niepokryte straty)</t>
  </si>
  <si>
    <t>Udziały niekontrolujące</t>
  </si>
  <si>
    <t>Kapitał własny ogółem</t>
  </si>
  <si>
    <t>Zobowiązania długoterminowe</t>
  </si>
  <si>
    <t>Zobowiązania z tytułu zadłużenia</t>
  </si>
  <si>
    <t>Rezerwy na świadczenia pracownicze</t>
  </si>
  <si>
    <t>Rezerwy na koszty demontażu środków trwałych i rekultywację terenu oraz pozostałe</t>
  </si>
  <si>
    <t>Rozliczenia międzyokresowe i dotacje rządowe</t>
  </si>
  <si>
    <t>Zobowiązania z tytułu odroczonego podatku dochodowego</t>
  </si>
  <si>
    <t>Pozostałe zobowiązania finansowe</t>
  </si>
  <si>
    <t>Zobowiązania krótkoterminowe</t>
  </si>
  <si>
    <t>Pochodne instrumenty finansowe</t>
  </si>
  <si>
    <t>Zobowiązania wobec dostawców</t>
  </si>
  <si>
    <t>Zobowiązania inwestycyjne</t>
  </si>
  <si>
    <t>Rezerwy na zobowiązania z tytułu świadectw pochodzenia energii i emisji gazów</t>
  </si>
  <si>
    <t>Pozostałe rezerwy</t>
  </si>
  <si>
    <t>Zobowiązania z tytułu podatków i opłat</t>
  </si>
  <si>
    <t>Pozostałe zobowiązania niefinansowe</t>
  </si>
  <si>
    <t>Zobowiązania razem</t>
  </si>
  <si>
    <t>SUMA PASYWÓW</t>
  </si>
  <si>
    <t>Rachunek przepływów pieniężnych</t>
  </si>
  <si>
    <t>Przepływy środków pieniężnych z działalności operacyjnej</t>
  </si>
  <si>
    <t>Udział w (zyskach)/stratach wspólnych przedsięwzięć</t>
  </si>
  <si>
    <t>Amortyzacja</t>
  </si>
  <si>
    <t>Odpisy aktualizujące wartość rzeczowych aktywów trwałych i aktywów niematerialnych</t>
  </si>
  <si>
    <t>Odsetki i prowizje</t>
  </si>
  <si>
    <t>Pozostałe korekty zysku przez opodatkowaniem</t>
  </si>
  <si>
    <t>Zmiana stanu kapitału obrotowego</t>
  </si>
  <si>
    <t>40.1</t>
  </si>
  <si>
    <t>Podatek dochodowy zapłacony</t>
  </si>
  <si>
    <t xml:space="preserve">Środki pieniężne netto z działalności operacyjnej </t>
  </si>
  <si>
    <t>Przepływy środków pieniężnych z działalności inwestycyjnej</t>
  </si>
  <si>
    <t>Nabycie rzeczowych aktywów trwałych i aktywów niematerialnych</t>
  </si>
  <si>
    <t>40.2</t>
  </si>
  <si>
    <t>Nabycie aktywów finansowych</t>
  </si>
  <si>
    <t>Udzielenie pożyczek</t>
  </si>
  <si>
    <t>Razem płatności</t>
  </si>
  <si>
    <t>Sprzedaż rzeczowych aktywów trwałych i aktywów niematerialnych</t>
  </si>
  <si>
    <t>Spłata udzielonych pożyczek</t>
  </si>
  <si>
    <t>Pozostałe wpływy</t>
  </si>
  <si>
    <t>Razem wpływy</t>
  </si>
  <si>
    <t>Środki pieniężne netto z działalności inwestycyjnej</t>
  </si>
  <si>
    <t>Przepływy środków pieniężnych z działalności finansowej</t>
  </si>
  <si>
    <t>Wykup dłużnych papierów wartościowych</t>
  </si>
  <si>
    <t>40.3</t>
  </si>
  <si>
    <t>Spłata pożyczek/kredytów</t>
  </si>
  <si>
    <t>Odsetki zapłacone</t>
  </si>
  <si>
    <t>Zwrot pomocy publicznej</t>
  </si>
  <si>
    <t>Pozostałe płatności</t>
  </si>
  <si>
    <t>Emisja dłużnych papierów wartościowych</t>
  </si>
  <si>
    <t>Otrzymane dotacje</t>
  </si>
  <si>
    <t>Środki pieniężne netto z działalności finansowej</t>
  </si>
  <si>
    <t xml:space="preserve">Zwiększenie/(zmniejszenie) netto stanu środków pieniężnych i ich 
ekwiwalentów </t>
  </si>
  <si>
    <t>Różnice kursowe netto</t>
  </si>
  <si>
    <t>Środki pieniężne na początek okresu</t>
  </si>
  <si>
    <r>
      <t xml:space="preserve">Środki pieniężne na koniec okresu, </t>
    </r>
    <r>
      <rPr>
        <b/>
        <i/>
        <sz val="10"/>
        <color rgb="FF5E5E5E"/>
        <rFont val="Arial"/>
        <family val="2"/>
        <charset val="238"/>
      </rPr>
      <t>w tym:</t>
    </r>
  </si>
  <si>
    <t>o ograniczonej możliwości dysponowania</t>
  </si>
  <si>
    <t>Historyczne dane kwartalne</t>
  </si>
  <si>
    <t>I kwartał 2010 r.</t>
  </si>
  <si>
    <t>II kwartał 2010 r.</t>
  </si>
  <si>
    <t>III kwartał 2010 r.</t>
  </si>
  <si>
    <t>IV kwartał 2010 r.</t>
  </si>
  <si>
    <t>I kwartał 2011 r.</t>
  </si>
  <si>
    <t>II kwartał 2011 r.</t>
  </si>
  <si>
    <t>III kwartał 2011 r.</t>
  </si>
  <si>
    <t>IV kwartał 2011 r.
(dane przekształcone)</t>
  </si>
  <si>
    <t>I kwartał 2012 r.
(dane przekształcone)</t>
  </si>
  <si>
    <t>II kwartał 2012 r.
(dane przekształcone)</t>
  </si>
  <si>
    <t>III kwartał 2012 r. 
(dane przekształcone)</t>
  </si>
  <si>
    <t>IV kwartał 2012 r.
(dane przekształcone)</t>
  </si>
  <si>
    <t>I kwartał 2013 r.
(dane przekształcone)</t>
  </si>
  <si>
    <t>II kwartał 2013 r.
(dane przekształcone)</t>
  </si>
  <si>
    <t>III kwartał 2013 r.
(dane przekształcone)</t>
  </si>
  <si>
    <t>IV kwartał 2013</t>
  </si>
  <si>
    <t>I kwartał 2014</t>
  </si>
  <si>
    <t>II kwartał 2014</t>
  </si>
  <si>
    <t>III kwartał 2014</t>
  </si>
  <si>
    <t>IV kwartał 2014</t>
  </si>
  <si>
    <t>I kwartał 2015</t>
  </si>
  <si>
    <t>II kwartał 2015</t>
  </si>
  <si>
    <t>III kwartał 2015</t>
  </si>
  <si>
    <t>IV kwartał 2015</t>
  </si>
  <si>
    <t>I kwartał 2016</t>
  </si>
  <si>
    <t>Zysk (strata) ze sprzedaży</t>
  </si>
  <si>
    <t xml:space="preserve">Pozostałe przychody operacyjne </t>
  </si>
  <si>
    <t>Pozostałe koszty operacyjne</t>
  </si>
  <si>
    <t>Zysk (strata) operacyjna</t>
  </si>
  <si>
    <t>Koszty finansowe</t>
  </si>
  <si>
    <t>Udział w zysku/(stracie) wspólnych przedsięwzięć</t>
  </si>
  <si>
    <t>Zysk (strata) brutto</t>
  </si>
  <si>
    <t>Zysk (strata) netto za rok obrotowy</t>
  </si>
  <si>
    <t>Pozostałe całkowite dochody:</t>
  </si>
  <si>
    <t>Wycena aktywów finansowych dostępnych do sprzedaży</t>
  </si>
  <si>
    <t>Zmiana wartości instrumentów zabezpieczających</t>
  </si>
  <si>
    <t>Zyski/(straty) aktuarialne dotyczące rezerw na świadczenia pracownicze po okresie zatrudnienia</t>
  </si>
  <si>
    <t>(*)</t>
  </si>
  <si>
    <t>Podatek dochodowy odnoszący się do elementów pozostałych całkowitych 
dochodów</t>
  </si>
  <si>
    <t>Pozostałe całkowite dochody za rok obrotowy, po uwzględnieniu podatku</t>
  </si>
  <si>
    <t>Całkowite dochody za rok obrotowy</t>
  </si>
  <si>
    <t>Zysk (strata) przypadająca:</t>
  </si>
  <si>
    <t>Zysk (strata) na jedną akcję (w złotych):</t>
  </si>
  <si>
    <t>– podstawowy i rozwodniony z zysku netto przypadającego akcjonariuszom jednostki dominującej</t>
  </si>
  <si>
    <t>Dane w tys. Zł</t>
  </si>
  <si>
    <t>31 marca 2010 r.</t>
  </si>
  <si>
    <t>30 czerwca 2010 r.</t>
  </si>
  <si>
    <t>30 września 2010 r.</t>
  </si>
  <si>
    <t>31 grudnia 2010 r.
(dane przekształcone)</t>
  </si>
  <si>
    <t>31 marca 2011 r.</t>
  </si>
  <si>
    <t>30 czerwca 2011 r.</t>
  </si>
  <si>
    <t>30 września 2011 r.</t>
  </si>
  <si>
    <t>31 grudnia 2011 r.
(dane przekształcone)</t>
  </si>
  <si>
    <t>31 marca 2012 r.</t>
  </si>
  <si>
    <t>30 czerwca 2012 r.</t>
  </si>
  <si>
    <t>30 września 2012 r.</t>
  </si>
  <si>
    <t>31 grudnia 2012 r.
(dane przekształcone)</t>
  </si>
  <si>
    <t>31 marca 2013 r.</t>
  </si>
  <si>
    <t>30 czerwca 2013 r.</t>
  </si>
  <si>
    <t>30 września 2013 r.</t>
  </si>
  <si>
    <t>31 grudnia 2013</t>
  </si>
  <si>
    <t>31 marca 2014 r.</t>
  </si>
  <si>
    <t>30 czerwca 2014</t>
  </si>
  <si>
    <t>30 września 2014</t>
  </si>
  <si>
    <t>31 grudnia 2014</t>
  </si>
  <si>
    <t>31 marca 2015</t>
  </si>
  <si>
    <t>30 czerwca 2015</t>
  </si>
  <si>
    <t>30 września 2015</t>
  </si>
  <si>
    <t>31 grudnia 2015</t>
  </si>
  <si>
    <t>31 marca 2016</t>
  </si>
  <si>
    <t>550 581 (****)</t>
  </si>
  <si>
    <t>660 828(****)</t>
  </si>
  <si>
    <t>790 551(****)</t>
  </si>
  <si>
    <t>346 340 (****)</t>
  </si>
  <si>
    <t>785 201(****)</t>
  </si>
  <si>
    <t>866 286(****)</t>
  </si>
  <si>
    <t>1 058 422(****)</t>
  </si>
  <si>
    <t>986 863(****)</t>
  </si>
  <si>
    <t>1 015 259(****)</t>
  </si>
  <si>
    <t>1 022 305(****)</t>
  </si>
  <si>
    <t>614 055(****)</t>
  </si>
  <si>
    <t>1 487 687(****)</t>
  </si>
  <si>
    <t>1 518 253(****)</t>
  </si>
  <si>
    <t xml:space="preserve">Aktywa niematerialne </t>
  </si>
  <si>
    <t xml:space="preserve">Udziały i akcje we wspólnych przedsięwzięciach </t>
  </si>
  <si>
    <t>Aktywa z tytułu podatku odroczonego</t>
  </si>
  <si>
    <t>Aktywa niematerialne</t>
  </si>
  <si>
    <t>Należności z tytułu podatku dochodowego</t>
  </si>
  <si>
    <t>Należności z tytułu dostaw i usług oraz pozostałe należności</t>
  </si>
  <si>
    <t>Aktywa trwałe i aktywa grupy do zbycia zaklasyfikowane jako przeznaczone do sprzedaży</t>
  </si>
  <si>
    <t>Kapitał z aktualizacji wyceny aktywów finansowych dostępnych do sprzedaży</t>
  </si>
  <si>
    <t>Zyski zatrzymane/Niepokryte straty</t>
  </si>
  <si>
    <t>Kredyty, pożyczki i dłużne papiery wartościowe</t>
  </si>
  <si>
    <t>Zobowiązania z tytułu leasingu finansowego</t>
  </si>
  <si>
    <t>Zobowiązania z tytułu dostaw i usług i pozostałe zobowiązania 
finansowe</t>
  </si>
  <si>
    <t>Instrumenty pochodne</t>
  </si>
  <si>
    <t>(**)</t>
  </si>
  <si>
    <t>990 819 (***)</t>
  </si>
  <si>
    <t>993 588 (***)</t>
  </si>
  <si>
    <t>1 008 639 (***)</t>
  </si>
  <si>
    <t>1 079 754 (***)</t>
  </si>
  <si>
    <t>1 085 313 (***)</t>
  </si>
  <si>
    <t>1 105 630 (***)</t>
  </si>
  <si>
    <t>1 215 105 (***)</t>
  </si>
  <si>
    <t>1 194 265 (***)</t>
  </si>
  <si>
    <t>1 199 581 (***)</t>
  </si>
  <si>
    <t xml:space="preserve">Pozostałe rezerwy </t>
  </si>
  <si>
    <t>Zobowiązanie z tytułu odroczonego podatku dochodowego</t>
  </si>
  <si>
    <t>Bieżąca część kredytów, pożyczek i dłużnych papierów 
wartościowych</t>
  </si>
  <si>
    <t>Bieżąca część zobowiązań z tytułu leasingu finansowego</t>
  </si>
  <si>
    <t>Zobowiązania z tytułu dostaw i usług i pozostałe zobowiązania</t>
  </si>
  <si>
    <t>476 467 (***)</t>
  </si>
  <si>
    <t>717 935 (***)</t>
  </si>
  <si>
    <t>923 058 (***)</t>
  </si>
  <si>
    <t>693 803 (***)</t>
  </si>
  <si>
    <t>914 996 (***)</t>
  </si>
  <si>
    <t>958 252 (***)</t>
  </si>
  <si>
    <t>973 045 (***)</t>
  </si>
  <si>
    <t>858 332 (***)</t>
  </si>
  <si>
    <t>952 508 (***)</t>
  </si>
  <si>
    <t>Zobowiązania z tytułu podatku dochodowego</t>
  </si>
  <si>
    <t>Zobowiązania grupy do zbycia zaklasyfikowanej jako przeznaczone do sprzedaży</t>
  </si>
  <si>
    <t>III kwartał 2012 r.
(dane przekształcone)</t>
  </si>
  <si>
    <t>Korekty o pozycje:</t>
  </si>
  <si>
    <t>Udział w zyskach/(stratach) wspólnych przedsięwzięć</t>
  </si>
  <si>
    <t>(Zysk)/strata z tytułu różnic kursowych</t>
  </si>
  <si>
    <t>Odsetki i dywidendy, netto</t>
  </si>
  <si>
    <t>(Zysk)/strata na działalności inwestycyjnej</t>
  </si>
  <si>
    <t>Zmiana stanu należności</t>
  </si>
  <si>
    <t>Zmiana stanu zapasów</t>
  </si>
  <si>
    <t>Zmiana stanu zobowiązań z wyjątkiem kredytów i pożyczek</t>
  </si>
  <si>
    <t>Zmiana stanu pozostałych aktywów długo- i krótkoterminowych</t>
  </si>
  <si>
    <t xml:space="preserve">Zmiana stanu rozliczeń międzyokresowych przychodów i dotacji rządowych </t>
  </si>
  <si>
    <t>Zmiana stanu rezerw</t>
  </si>
  <si>
    <t>Sprzedaż/wykup obligacji i innych dłużnych papierów wartościowych</t>
  </si>
  <si>
    <t>Sprzedaż innych aktywów finansowych</t>
  </si>
  <si>
    <t>Zaliczka na zakup akcji jednostki zależnej</t>
  </si>
  <si>
    <t>Nabycie innych aktywów finansowych</t>
  </si>
  <si>
    <t>Nabycie udziałów i akcji w jednostkach stowarzyszonych i wspólnych przedsięwzięciach wykazywanych metodą praw własności</t>
  </si>
  <si>
    <t>Przejęcie jednostek zależnych po potrąceniu przejętych środków pieniężnych</t>
  </si>
  <si>
    <t>Dywidendy otrzymane</t>
  </si>
  <si>
    <t>Odsetki otrzymane</t>
  </si>
  <si>
    <t>Spłata zobowiązań z tytułu leasingu finansowego</t>
  </si>
  <si>
    <t>Wpływy z tytułu zaciągnięcia pożyczek/kredytów</t>
  </si>
  <si>
    <t>Dywidendy wypłacone akcjonariuszom jednostki dominującej</t>
  </si>
  <si>
    <t>Dywidendy wypłacone udziałowcom niekontrolującym</t>
  </si>
  <si>
    <t>Nabycie udziałów niekontrolujących</t>
  </si>
  <si>
    <t>Środki pieniężne na koniec okresu, w tym:</t>
  </si>
  <si>
    <t>Grupa prezentuje przekształcone dane wynikające ze zmian polityki rachunkowości wyłącznie w zakresie, w jakim zostały opublikowane.</t>
  </si>
  <si>
    <t>Grupa prezentuje przekształcone dane wynikające ze zmian polityki rachunkowości wyłącznie w zakresie, w jakim zostały opublikowane</t>
  </si>
  <si>
    <t>Grupa nie prezentowała instrumentów pochodnych jako odrębnej pozycji sprawozdania z sytuacji finansowej.</t>
  </si>
  <si>
    <t>Grupa nie prezentowała instrumentów pochodnych jako odrębnej pozycji sprawozdania z sytuacji finansowej</t>
  </si>
  <si>
    <t>(***)</t>
  </si>
  <si>
    <t>Grupa prezentowała łącznie dane dotyczące rezerw na świadczenia pracownicze i pozostałych rezerw.</t>
  </si>
  <si>
    <t>Grupa prezentowała łącznie dane dotyczące rezerw na świadczenia pracownicze i pozostałych rezerw</t>
  </si>
  <si>
    <t>(****)</t>
  </si>
  <si>
    <t>Grupa prezentowała łącznie dane dotyczące aktywów niematerialnych i wartości firmy</t>
  </si>
  <si>
    <t>Historyczne dane półroczne</t>
  </si>
  <si>
    <t>I półrocze 2010 r.</t>
  </si>
  <si>
    <t>II półrocze 2010 r.</t>
  </si>
  <si>
    <t>I półrocze 2011 r.</t>
  </si>
  <si>
    <t>II półrocze 2011 r.
(dane przekształcone)</t>
  </si>
  <si>
    <t>I półrocze 2012 r.
(dane przekształcone)</t>
  </si>
  <si>
    <t>II półrocze 2012 r.
(dane przekształcone)</t>
  </si>
  <si>
    <t>I półrocze 2013 r.
(dane przekształcone)</t>
  </si>
  <si>
    <t>II półrocze 2013</t>
  </si>
  <si>
    <t>II półrocze 2014</t>
  </si>
  <si>
    <t>I półrocze 2015</t>
  </si>
  <si>
    <t>II półrocze 2015</t>
  </si>
  <si>
    <t>30 czerwca 2013</t>
  </si>
  <si>
    <t>660 828 (****)</t>
  </si>
  <si>
    <t>866 286 (****)</t>
  </si>
  <si>
    <t>1 015 259 (****)</t>
  </si>
  <si>
    <t>1 487 687 (****)</t>
  </si>
  <si>
    <t>Rezerwa z tytułu odroczonego podatku dochodowego</t>
  </si>
  <si>
    <t>II półrocze 2011 r.
(dane przekształcone</t>
  </si>
  <si>
    <t>II półrocze 2014 r.</t>
  </si>
  <si>
    <t>II półrocze 2015 r.</t>
  </si>
  <si>
    <t xml:space="preserve">Zmiana stanu rozliczeń międzyokresowych  i dotacji rządowych </t>
  </si>
  <si>
    <t xml:space="preserve">Nabycie udziałów i akcji we wspólnych przedsięwzięciach </t>
  </si>
  <si>
    <t>Historyczne dane roczne</t>
  </si>
  <si>
    <t>Rok zakończony             31 grudnia 2009 r.
(dane przekształcone)</t>
  </si>
  <si>
    <t>Rok zakończony             31 grudnia 2010 r.</t>
  </si>
  <si>
    <t>Rok zakończony             31 grudnia 2011 r.
(dane przekształcone)</t>
  </si>
  <si>
    <t>Rok zakończony
31 grudnia 2012 r.
(dane przekształcone)</t>
  </si>
  <si>
    <t>Rok zakończony             31 grudnia 2013 r.</t>
  </si>
  <si>
    <t>Rok zakończony             31 grudnia 2014 r.</t>
  </si>
  <si>
    <t>Rok zakończony             31 grudnia 2015 r.</t>
  </si>
  <si>
    <t>31 grudnia 2009 r.
(dane przekształcone)</t>
  </si>
  <si>
    <t>31 grudnia 2013 r.</t>
  </si>
  <si>
    <t>31 grudnia 2014 r.</t>
  </si>
  <si>
    <t>31 grudnia 2015 r.</t>
  </si>
  <si>
    <t>342 866 (****)</t>
  </si>
  <si>
    <t>978 807 (***)</t>
  </si>
  <si>
    <t>937 990 (***)</t>
  </si>
  <si>
    <t>Koszty z tytułu płatności w formie akcji własnych</t>
  </si>
  <si>
    <t>Sprzedaż obligacji i innych dłużnych papierów wartościowych</t>
  </si>
  <si>
    <t>Nabycie udziałów i akcji we wspólnych przedsięwzięciach wykazywanych metodą praw własności</t>
  </si>
  <si>
    <t>Inne wydatki na rzecz właścicieli</t>
  </si>
  <si>
    <r>
      <t>Okres 6 miesięcy 
zakończony 
30 czerwca 2016</t>
    </r>
    <r>
      <rPr>
        <i/>
        <sz val="10"/>
        <color theme="1" tint="0.34998626667073579"/>
        <rFont val="Arial"/>
        <family val="2"/>
        <charset val="238"/>
      </rPr>
      <t xml:space="preserve"> (niebadane)</t>
    </r>
  </si>
  <si>
    <r>
      <t xml:space="preserve">Okres 6 miesięcy 
zakończony 
30 czerwca 2015 
</t>
    </r>
    <r>
      <rPr>
        <i/>
        <sz val="10"/>
        <color theme="1" tint="0.34998626667073579"/>
        <rFont val="Arial"/>
        <family val="2"/>
        <charset val="238"/>
      </rPr>
      <t>(dane przekształcone niebadane)</t>
    </r>
  </si>
  <si>
    <r>
      <t xml:space="preserve">
Stan na 
30 czerwca 2016
</t>
    </r>
    <r>
      <rPr>
        <i/>
        <sz val="10"/>
        <color rgb="FF4B4B4B"/>
        <rFont val="Arial"/>
        <family val="2"/>
        <charset val="238"/>
      </rPr>
      <t>(niebadane)</t>
    </r>
    <r>
      <rPr>
        <sz val="10"/>
        <color rgb="FF4B4B4B"/>
        <rFont val="Arial"/>
        <family val="2"/>
        <charset val="238"/>
      </rPr>
      <t xml:space="preserve">
</t>
    </r>
  </si>
  <si>
    <r>
      <t xml:space="preserve">Okres 6 miesięcy 
zakończony 
30 czerwca 2016 </t>
    </r>
    <r>
      <rPr>
        <i/>
        <sz val="10"/>
        <rFont val="Arial"/>
        <family val="2"/>
        <charset val="238"/>
      </rPr>
      <t>(niebadane)</t>
    </r>
  </si>
  <si>
    <r>
      <t xml:space="preserve">Okres 6 miesięcy 
zakończony 
30 czerwca 2015 </t>
    </r>
    <r>
      <rPr>
        <i/>
        <sz val="10"/>
        <rFont val="Arial"/>
        <family val="2"/>
        <charset val="238"/>
      </rPr>
      <t>(niebadane)</t>
    </r>
  </si>
  <si>
    <t>29.3</t>
  </si>
  <si>
    <t>29.4</t>
  </si>
  <si>
    <t>Wpływy z tytułu zaciągnięcia kredytów/pożyczek</t>
  </si>
  <si>
    <t>II kwartał 2016</t>
  </si>
  <si>
    <t>30 czerwca 2016</t>
  </si>
  <si>
    <t>I półrocze 2016</t>
  </si>
  <si>
    <t>I półrocze 2016 r.</t>
  </si>
  <si>
    <t>II kwartał 
2016 r.</t>
  </si>
  <si>
    <t>II kwartał 
2015 r.</t>
  </si>
  <si>
    <t>I półrocze 
2016 r.</t>
  </si>
  <si>
    <t>I półrocze 
2015 r.</t>
  </si>
  <si>
    <t>Przychody ze sprzedaży 
za I półrocze 2016 r.</t>
  </si>
  <si>
    <t>EBITDA 
za I półrocze 2016 r.</t>
  </si>
  <si>
    <t>EBIT 
za I półrocze 2016 r.</t>
  </si>
  <si>
    <t>Aktywa ogółem 
na dzień 30 czerwca 2016 r.</t>
  </si>
  <si>
    <t>Przychody ze sprzedaży 
za II kwartał 2016 r.</t>
  </si>
  <si>
    <t>EBITDA 
za II kwartał 2016 r.</t>
  </si>
  <si>
    <t>EBIT 
za II kwartał 2016 r.</t>
  </si>
  <si>
    <t>I półrocze  
2015 r.</t>
  </si>
  <si>
    <t>ZW Tychy (BC-50)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</si>
</sst>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z_ł_-;\-* #,##0.00\ _z_ł_-;_-* &quot;-&quot;??\ _z_ł_-;_-@_-"/>
    <numFmt numFmtId="164" formatCode="#,##0_);[Red]\(#,##0\)"/>
    <numFmt numFmtId="165" formatCode="_-* #,##0\ _z_ł_-;\-* #,##0\ _z_ł_-;_-* &quot;-&quot;??\ _z_ł_-;_-@_-"/>
    <numFmt numFmtId="166" formatCode="0.0"/>
    <numFmt numFmtId="167" formatCode="_-* #,##0&quot;   &quot;;[Black]\(#,##0\)&quot;  &quot;;&quot;-   &quot;"/>
    <numFmt numFmtId="168" formatCode="#,##0_);[Black]\(#,##0\)"/>
    <numFmt numFmtId="169" formatCode="_-* #,##0.00&quot;   &quot;;[Black]\(#,##0.00\)&quot;  &quot;;&quot;-   &quot;"/>
    <numFmt numFmtId="170" formatCode="_-* #,##0.00&quot;   &quot;;[Red]\(#,##0.00\)&quot;  &quot;;&quot;-   &quot;"/>
    <numFmt numFmtId="171" formatCode="_-* #,##0&quot;   &quot;;[Red]\(#,##0\)&quot;  &quot;;&quot;-   &quot;"/>
    <numFmt numFmtId="172" formatCode="#,##0.00_);[Red]\(#,##0.00\)"/>
  </numFmts>
  <fonts count="4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rgb="FF4B4B4B"/>
      <name val="Arial"/>
      <family val="2"/>
      <charset val="238"/>
    </font>
    <font>
      <sz val="12"/>
      <color rgb="FF4B4B4B"/>
      <name val="Arial"/>
      <family val="2"/>
      <charset val="238"/>
    </font>
    <font>
      <sz val="10"/>
      <color rgb="FF4B4B4B"/>
      <name val="Arial"/>
      <family val="2"/>
      <charset val="238"/>
    </font>
    <font>
      <b/>
      <sz val="10"/>
      <color rgb="FF4B4B4B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b/>
      <sz val="11"/>
      <color rgb="FF4B4B4B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 tint="0.249977111117893"/>
      <name val="Arial"/>
      <family val="2"/>
      <charset val="238"/>
    </font>
    <font>
      <b/>
      <sz val="10"/>
      <color theme="0" tint="-0.249977111117893"/>
      <name val="Arial"/>
      <family val="2"/>
      <charset val="238"/>
    </font>
    <font>
      <sz val="10"/>
      <color theme="0" tint="-0.249977111117893"/>
      <name val="Arial"/>
      <family val="2"/>
      <charset val="238"/>
    </font>
    <font>
      <sz val="10"/>
      <color theme="0" tint="-0.249977111117893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sz val="12"/>
      <color rgb="FF4B4B4B"/>
      <name val="Arial"/>
      <family val="2"/>
      <charset val="238"/>
    </font>
    <font>
      <b/>
      <sz val="10"/>
      <color theme="1" tint="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2"/>
      <color theme="0"/>
      <name val="Calibri"/>
      <family val="2"/>
      <charset val="238"/>
      <scheme val="minor"/>
    </font>
    <font>
      <sz val="9"/>
      <color theme="1" tint="0.3499862666707357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 tint="0.249977111117893"/>
      <name val="Calibri"/>
      <family val="2"/>
      <charset val="238"/>
      <scheme val="minor"/>
    </font>
    <font>
      <b/>
      <sz val="10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i/>
      <sz val="10"/>
      <color theme="1" tint="0.34998626667073579"/>
      <name val="Arial"/>
      <family val="2"/>
      <charset val="238"/>
    </font>
    <font>
      <b/>
      <sz val="8"/>
      <name val="Arial"/>
      <family val="2"/>
      <charset val="238"/>
    </font>
    <font>
      <i/>
      <sz val="10"/>
      <color rgb="FF4B4B4B"/>
      <name val="Arial"/>
      <family val="2"/>
      <charset val="238"/>
    </font>
    <font>
      <sz val="10"/>
      <color rgb="FF5E5E5E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5E5E5E"/>
      <name val="Arial"/>
      <family val="2"/>
      <charset val="238"/>
    </font>
    <font>
      <b/>
      <i/>
      <sz val="10"/>
      <color rgb="FF5E5E5E"/>
      <name val="Arial"/>
      <family val="2"/>
      <charset val="238"/>
    </font>
    <font>
      <sz val="12"/>
      <color rgb="FF5E5E5E"/>
      <name val="Calibri"/>
      <family val="2"/>
      <charset val="238"/>
      <scheme val="minor"/>
    </font>
    <font>
      <sz val="12"/>
      <color rgb="FFFFFFFF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sz val="10"/>
      <color rgb="FF4B4B4B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rgb="FF4B4B4B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2007A"/>
        <bgColor indexed="64"/>
      </patternFill>
    </fill>
    <fill>
      <patternFill patternType="solid">
        <fgColor rgb="FFE2007A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E2007A"/>
      </bottom>
      <diagonal/>
    </border>
    <border>
      <left/>
      <right/>
      <top style="thin">
        <color rgb="FFE2007A"/>
      </top>
      <bottom/>
      <diagonal/>
    </border>
    <border>
      <left/>
      <right/>
      <top style="thin">
        <color rgb="FF949494"/>
      </top>
      <bottom/>
      <diagonal/>
    </border>
    <border>
      <left/>
      <right/>
      <top/>
      <bottom style="thin">
        <color rgb="FF949494"/>
      </bottom>
      <diagonal/>
    </border>
    <border>
      <left/>
      <right/>
      <top style="thin">
        <color rgb="FF949494"/>
      </top>
      <bottom style="thin">
        <color rgb="FF949494"/>
      </bottom>
      <diagonal/>
    </border>
    <border>
      <left/>
      <right/>
      <top style="thin">
        <color rgb="FFE2007A"/>
      </top>
      <bottom style="thin">
        <color rgb="FF949494"/>
      </bottom>
      <diagonal/>
    </border>
    <border>
      <left/>
      <right/>
      <top style="thin">
        <color rgb="FFE2007A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E2007A"/>
      </top>
      <bottom style="thin">
        <color rgb="FFE2007A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4B4B4B"/>
      </top>
      <bottom style="thin">
        <color rgb="FF4B4B4B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rgb="FF5E5E5E"/>
      </top>
      <bottom/>
      <diagonal/>
    </border>
    <border>
      <left/>
      <right/>
      <top style="thin">
        <color rgb="FF5E5E5E"/>
      </top>
      <bottom style="thin">
        <color rgb="FF5E5E5E"/>
      </bottom>
      <diagonal/>
    </border>
    <border>
      <left/>
      <right/>
      <top style="thin">
        <color theme="0" tint="-0.499984740745262"/>
      </top>
      <bottom style="thin">
        <color rgb="FF5E5E5E"/>
      </bottom>
      <diagonal/>
    </border>
    <border>
      <left/>
      <right/>
      <top style="thin">
        <color rgb="FF949494"/>
      </top>
      <bottom style="thin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0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3" fillId="2" borderId="1" xfId="0" applyFont="1" applyFill="1" applyBorder="1" applyAlignment="1"/>
    <xf numFmtId="0" fontId="0" fillId="2" borderId="0" xfId="0" applyFill="1" applyAlignment="1">
      <alignment vertical="center"/>
    </xf>
    <xf numFmtId="0" fontId="4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2" borderId="0" xfId="1" applyNumberFormat="1" applyFont="1" applyFill="1" applyBorder="1"/>
    <xf numFmtId="0" fontId="0" fillId="2" borderId="0" xfId="0" applyFill="1"/>
    <xf numFmtId="0" fontId="0" fillId="2" borderId="0" xfId="0" applyFont="1" applyFill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" fontId="5" fillId="2" borderId="3" xfId="1" applyNumberFormat="1" applyFont="1" applyFill="1" applyBorder="1"/>
    <xf numFmtId="3" fontId="4" fillId="2" borderId="0" xfId="0" applyNumberFormat="1" applyFont="1" applyFill="1" applyBorder="1"/>
    <xf numFmtId="3" fontId="4" fillId="2" borderId="3" xfId="1" applyNumberFormat="1" applyFont="1" applyFill="1" applyBorder="1"/>
    <xf numFmtId="0" fontId="4" fillId="2" borderId="0" xfId="0" applyFont="1" applyFill="1" applyBorder="1"/>
    <xf numFmtId="3" fontId="5" fillId="2" borderId="0" xfId="0" applyNumberFormat="1" applyFont="1" applyFill="1"/>
    <xf numFmtId="3" fontId="4" fillId="2" borderId="0" xfId="0" applyNumberFormat="1" applyFont="1" applyFill="1"/>
    <xf numFmtId="164" fontId="6" fillId="2" borderId="0" xfId="0" applyNumberFormat="1" applyFont="1" applyFill="1"/>
    <xf numFmtId="4" fontId="4" fillId="2" borderId="0" xfId="0" applyNumberFormat="1" applyFont="1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/>
    <xf numFmtId="165" fontId="4" fillId="2" borderId="0" xfId="1" applyNumberFormat="1" applyFont="1" applyFill="1" applyBorder="1"/>
    <xf numFmtId="4" fontId="4" fillId="2" borderId="4" xfId="0" applyNumberFormat="1" applyFont="1" applyFill="1" applyBorder="1"/>
    <xf numFmtId="0" fontId="4" fillId="2" borderId="0" xfId="0" applyFont="1" applyFill="1" applyAlignment="1">
      <alignment horizontal="center" vertical="center"/>
    </xf>
    <xf numFmtId="165" fontId="4" fillId="2" borderId="0" xfId="1" applyNumberFormat="1" applyFont="1" applyFill="1"/>
    <xf numFmtId="4" fontId="4" fillId="2" borderId="0" xfId="1" applyNumberFormat="1" applyFont="1" applyFill="1" applyBorder="1"/>
    <xf numFmtId="0" fontId="0" fillId="2" borderId="0" xfId="0" applyFont="1" applyFill="1" applyBorder="1"/>
    <xf numFmtId="0" fontId="0" fillId="2" borderId="0" xfId="0" applyFill="1" applyBorder="1"/>
    <xf numFmtId="166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/>
    <xf numFmtId="2" fontId="5" fillId="2" borderId="3" xfId="0" applyNumberFormat="1" applyFont="1" applyFill="1" applyBorder="1"/>
    <xf numFmtId="2" fontId="4" fillId="2" borderId="3" xfId="0" applyNumberFormat="1" applyFont="1" applyFill="1" applyBorder="1"/>
    <xf numFmtId="2" fontId="5" fillId="2" borderId="0" xfId="0" applyNumberFormat="1" applyFont="1" applyFill="1" applyBorder="1"/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2" borderId="0" xfId="0" applyFont="1" applyFill="1"/>
    <xf numFmtId="165" fontId="9" fillId="2" borderId="3" xfId="1" applyNumberFormat="1" applyFont="1" applyFill="1" applyBorder="1" applyAlignment="1">
      <alignment horizontal="right" vertical="center"/>
    </xf>
    <xf numFmtId="165" fontId="9" fillId="2" borderId="3" xfId="1" applyNumberFormat="1" applyFont="1" applyFill="1" applyBorder="1" applyAlignment="1">
      <alignment vertical="center"/>
    </xf>
    <xf numFmtId="0" fontId="4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right" vertical="center"/>
    </xf>
    <xf numFmtId="0" fontId="11" fillId="2" borderId="4" xfId="0" applyFont="1" applyFill="1" applyBorder="1" applyAlignment="1">
      <alignment horizontal="left" indent="1"/>
    </xf>
    <xf numFmtId="0" fontId="11" fillId="2" borderId="4" xfId="0" applyFont="1" applyFill="1" applyBorder="1"/>
    <xf numFmtId="0" fontId="4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indent="1"/>
    </xf>
    <xf numFmtId="0" fontId="10" fillId="2" borderId="4" xfId="0" applyFont="1" applyFill="1" applyBorder="1" applyAlignment="1">
      <alignment vertical="center"/>
    </xf>
    <xf numFmtId="165" fontId="9" fillId="2" borderId="0" xfId="1" applyNumberFormat="1" applyFont="1" applyFill="1" applyBorder="1" applyAlignment="1">
      <alignment horizontal="right" vertical="center"/>
    </xf>
    <xf numFmtId="165" fontId="9" fillId="2" borderId="0" xfId="1" applyNumberFormat="1" applyFont="1" applyFill="1" applyBorder="1" applyAlignment="1">
      <alignment vertical="center"/>
    </xf>
    <xf numFmtId="0" fontId="5" fillId="2" borderId="3" xfId="0" applyFont="1" applyFill="1" applyBorder="1"/>
    <xf numFmtId="0" fontId="4" fillId="2" borderId="0" xfId="0" applyFont="1" applyFill="1" applyBorder="1" applyAlignment="1">
      <alignment horizontal="left" indent="1"/>
    </xf>
    <xf numFmtId="0" fontId="4" fillId="2" borderId="4" xfId="0" applyFont="1" applyFill="1" applyBorder="1" applyAlignment="1">
      <alignment horizontal="right" vertical="center"/>
    </xf>
    <xf numFmtId="0" fontId="12" fillId="2" borderId="3" xfId="0" applyFont="1" applyFill="1" applyBorder="1"/>
    <xf numFmtId="165" fontId="12" fillId="2" borderId="3" xfId="1" applyNumberFormat="1" applyFont="1" applyFill="1" applyBorder="1" applyAlignment="1">
      <alignment horizontal="right" vertical="center"/>
    </xf>
    <xf numFmtId="165" fontId="12" fillId="2" borderId="3" xfId="1" applyNumberFormat="1" applyFont="1" applyFill="1" applyBorder="1" applyAlignment="1">
      <alignment vertical="center"/>
    </xf>
    <xf numFmtId="0" fontId="13" fillId="2" borderId="4" xfId="0" applyFont="1" applyFill="1" applyBorder="1" applyAlignment="1">
      <alignment horizontal="left" indent="1"/>
    </xf>
    <xf numFmtId="0" fontId="13" fillId="2" borderId="4" xfId="0" applyFont="1" applyFill="1" applyBorder="1"/>
    <xf numFmtId="0" fontId="14" fillId="2" borderId="4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65" fontId="10" fillId="2" borderId="0" xfId="1" applyNumberFormat="1" applyFont="1" applyFill="1" applyBorder="1" applyAlignment="1">
      <alignment vertical="center"/>
    </xf>
    <xf numFmtId="0" fontId="11" fillId="2" borderId="0" xfId="0" applyFont="1" applyFill="1" applyAlignment="1">
      <alignment horizontal="left" indent="1"/>
    </xf>
    <xf numFmtId="0" fontId="16" fillId="3" borderId="0" xfId="0" applyFont="1" applyFill="1" applyAlignment="1">
      <alignment horizontal="left" indent="1"/>
    </xf>
    <xf numFmtId="0" fontId="17" fillId="3" borderId="0" xfId="0" applyFont="1" applyFill="1"/>
    <xf numFmtId="165" fontId="16" fillId="3" borderId="0" xfId="0" applyNumberFormat="1" applyFont="1" applyFill="1" applyBorder="1" applyAlignment="1">
      <alignment horizontal="right" vertical="center"/>
    </xf>
    <xf numFmtId="0" fontId="18" fillId="2" borderId="0" xfId="0" applyFont="1" applyFill="1" applyBorder="1"/>
    <xf numFmtId="165" fontId="18" fillId="2" borderId="0" xfId="1" applyNumberFormat="1" applyFont="1" applyFill="1" applyBorder="1" applyAlignment="1">
      <alignment horizontal="right" vertical="center"/>
    </xf>
    <xf numFmtId="165" fontId="19" fillId="2" borderId="0" xfId="1" applyNumberFormat="1" applyFont="1" applyFill="1" applyBorder="1" applyAlignment="1">
      <alignment horizontal="right" vertical="center"/>
    </xf>
    <xf numFmtId="0" fontId="18" fillId="2" borderId="5" xfId="0" applyFont="1" applyFill="1" applyBorder="1"/>
    <xf numFmtId="165" fontId="9" fillId="2" borderId="5" xfId="1" applyNumberFormat="1" applyFont="1" applyFill="1" applyBorder="1" applyAlignment="1">
      <alignment horizontal="right" vertical="center"/>
    </xf>
    <xf numFmtId="0" fontId="12" fillId="2" borderId="5" xfId="0" applyFont="1" applyFill="1" applyBorder="1"/>
    <xf numFmtId="165" fontId="12" fillId="2" borderId="5" xfId="1" applyNumberFormat="1" applyFont="1" applyFill="1" applyBorder="1" applyAlignment="1">
      <alignment horizontal="right" vertical="center"/>
    </xf>
    <xf numFmtId="0" fontId="5" fillId="2" borderId="4" xfId="0" applyFont="1" applyFill="1" applyBorder="1"/>
    <xf numFmtId="1" fontId="4" fillId="2" borderId="0" xfId="0" applyNumberFormat="1" applyFont="1" applyFill="1" applyAlignment="1">
      <alignment horizontal="right" vertical="center"/>
    </xf>
    <xf numFmtId="1" fontId="4" fillId="2" borderId="0" xfId="0" applyNumberFormat="1" applyFont="1" applyFill="1" applyBorder="1" applyAlignment="1">
      <alignment horizontal="right" vertical="center"/>
    </xf>
    <xf numFmtId="165" fontId="5" fillId="2" borderId="5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165" fontId="10" fillId="2" borderId="0" xfId="1" applyNumberFormat="1" applyFont="1" applyFill="1" applyBorder="1" applyAlignment="1">
      <alignment horizontal="right" vertical="center"/>
    </xf>
    <xf numFmtId="0" fontId="5" fillId="2" borderId="5" xfId="0" applyFont="1" applyFill="1" applyBorder="1"/>
    <xf numFmtId="165" fontId="10" fillId="2" borderId="5" xfId="1" applyNumberFormat="1" applyFont="1" applyFill="1" applyBorder="1" applyAlignment="1">
      <alignment horizontal="right" vertical="center"/>
    </xf>
    <xf numFmtId="165" fontId="20" fillId="3" borderId="0" xfId="0" applyNumberFormat="1" applyFont="1" applyFill="1" applyBorder="1" applyAlignment="1">
      <alignment horizontal="right" vertical="center"/>
    </xf>
    <xf numFmtId="0" fontId="21" fillId="2" borderId="0" xfId="0" applyFont="1" applyFill="1"/>
    <xf numFmtId="0" fontId="22" fillId="2" borderId="0" xfId="0" applyFont="1" applyFill="1"/>
    <xf numFmtId="0" fontId="7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164" fontId="5" fillId="2" borderId="0" xfId="1" applyNumberFormat="1" applyFont="1" applyFill="1" applyBorder="1"/>
    <xf numFmtId="164" fontId="4" fillId="2" borderId="0" xfId="1" applyNumberFormat="1" applyFont="1" applyFill="1" applyBorder="1"/>
    <xf numFmtId="164" fontId="4" fillId="2" borderId="3" xfId="1" applyNumberFormat="1" applyFont="1" applyFill="1" applyBorder="1"/>
    <xf numFmtId="164" fontId="4" fillId="2" borderId="0" xfId="1" applyNumberFormat="1" applyFont="1" applyFill="1"/>
    <xf numFmtId="164" fontId="5" fillId="2" borderId="8" xfId="1" applyNumberFormat="1" applyFont="1" applyFill="1" applyBorder="1"/>
    <xf numFmtId="164" fontId="4" fillId="2" borderId="8" xfId="1" applyNumberFormat="1" applyFont="1" applyFill="1" applyBorder="1"/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164" fontId="4" fillId="2" borderId="4" xfId="1" applyNumberFormat="1" applyFont="1" applyFill="1" applyBorder="1"/>
    <xf numFmtId="0" fontId="0" fillId="2" borderId="0" xfId="0" applyFill="1" applyBorder="1" applyAlignment="1">
      <alignment vertical="center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1" fillId="2" borderId="3" xfId="0" applyFont="1" applyFill="1" applyBorder="1"/>
    <xf numFmtId="0" fontId="11" fillId="2" borderId="0" xfId="0" applyFont="1" applyFill="1" applyBorder="1"/>
    <xf numFmtId="164" fontId="5" fillId="2" borderId="3" xfId="1" applyNumberFormat="1" applyFont="1" applyFill="1" applyBorder="1"/>
    <xf numFmtId="3" fontId="4" fillId="2" borderId="3" xfId="0" applyNumberFormat="1" applyFont="1" applyFill="1" applyBorder="1"/>
    <xf numFmtId="0" fontId="24" fillId="2" borderId="0" xfId="0" applyFont="1" applyFill="1"/>
    <xf numFmtId="164" fontId="5" fillId="2" borderId="4" xfId="1" applyNumberFormat="1" applyFont="1" applyFill="1" applyBorder="1"/>
    <xf numFmtId="0" fontId="25" fillId="2" borderId="0" xfId="0" applyFont="1" applyFill="1"/>
    <xf numFmtId="0" fontId="25" fillId="2" borderId="0" xfId="0" applyFont="1" applyFill="1" applyBorder="1"/>
    <xf numFmtId="3" fontId="4" fillId="2" borderId="4" xfId="0" applyNumberFormat="1" applyFont="1" applyFill="1" applyBorder="1"/>
    <xf numFmtId="164" fontId="4" fillId="2" borderId="1" xfId="1" applyNumberFormat="1" applyFont="1" applyFill="1" applyBorder="1"/>
    <xf numFmtId="164" fontId="4" fillId="2" borderId="6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6" xfId="0" quotePrefix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/>
    </xf>
    <xf numFmtId="164" fontId="26" fillId="2" borderId="0" xfId="0" applyNumberFormat="1" applyFont="1" applyFill="1"/>
    <xf numFmtId="167" fontId="26" fillId="2" borderId="0" xfId="0" applyNumberFormat="1" applyFont="1" applyFill="1" applyAlignment="1" applyProtection="1">
      <alignment horizontal="right" vertical="center"/>
      <protection locked="0"/>
    </xf>
    <xf numFmtId="167" fontId="25" fillId="2" borderId="0" xfId="0" applyNumberFormat="1" applyFont="1" applyFill="1" applyAlignment="1" applyProtection="1">
      <alignment horizontal="right" vertical="center"/>
      <protection locked="0"/>
    </xf>
    <xf numFmtId="0" fontId="5" fillId="2" borderId="10" xfId="0" applyFont="1" applyFill="1" applyBorder="1"/>
    <xf numFmtId="0" fontId="26" fillId="2" borderId="10" xfId="0" applyFont="1" applyFill="1" applyBorder="1" applyAlignment="1">
      <alignment horizontal="center"/>
    </xf>
    <xf numFmtId="167" fontId="25" fillId="2" borderId="10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>
      <alignment horizontal="left" vertical="top" indent="1"/>
    </xf>
    <xf numFmtId="0" fontId="26" fillId="2" borderId="0" xfId="0" applyFont="1" applyFill="1" applyBorder="1" applyAlignment="1">
      <alignment horizontal="center"/>
    </xf>
    <xf numFmtId="167" fontId="25" fillId="2" borderId="0" xfId="0" applyNumberFormat="1" applyFont="1" applyFill="1" applyBorder="1" applyAlignment="1" applyProtection="1">
      <alignment horizontal="right" vertical="center"/>
      <protection locked="0"/>
    </xf>
    <xf numFmtId="167" fontId="26" fillId="2" borderId="0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/>
    <xf numFmtId="0" fontId="10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 vertical="top" indent="1"/>
    </xf>
    <xf numFmtId="0" fontId="28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indent="1"/>
    </xf>
    <xf numFmtId="0" fontId="5" fillId="2" borderId="0" xfId="0" quotePrefix="1" applyFont="1" applyFill="1" applyBorder="1"/>
    <xf numFmtId="0" fontId="28" fillId="2" borderId="12" xfId="0" applyFont="1" applyFill="1" applyBorder="1" applyAlignment="1" applyProtection="1">
      <alignment vertical="center"/>
      <protection locked="0"/>
    </xf>
    <xf numFmtId="167" fontId="25" fillId="2" borderId="12" xfId="0" applyNumberFormat="1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Alignment="1">
      <alignment horizontal="center"/>
    </xf>
    <xf numFmtId="0" fontId="26" fillId="2" borderId="8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168" fontId="25" fillId="2" borderId="0" xfId="0" applyNumberFormat="1" applyFont="1" applyFill="1" applyBorder="1" applyAlignment="1" applyProtection="1">
      <alignment horizontal="right" vertical="center"/>
      <protection locked="0"/>
    </xf>
    <xf numFmtId="164" fontId="25" fillId="2" borderId="0" xfId="0" applyNumberFormat="1" applyFont="1" applyFill="1"/>
    <xf numFmtId="164" fontId="26" fillId="2" borderId="0" xfId="0" applyNumberFormat="1" applyFont="1" applyFill="1" applyAlignment="1">
      <alignment vertical="center"/>
    </xf>
    <xf numFmtId="0" fontId="4" fillId="2" borderId="8" xfId="0" applyFont="1" applyFill="1" applyBorder="1" applyAlignment="1">
      <alignment horizontal="left" indent="1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69" fontId="25" fillId="2" borderId="8" xfId="0" applyNumberFormat="1" applyFont="1" applyFill="1" applyBorder="1" applyAlignment="1" applyProtection="1">
      <alignment horizontal="right" vertical="center"/>
      <protection locked="0"/>
    </xf>
    <xf numFmtId="170" fontId="25" fillId="2" borderId="8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4" fillId="2" borderId="3" xfId="0" applyNumberFormat="1" applyFont="1" applyFill="1" applyBorder="1"/>
    <xf numFmtId="0" fontId="4" fillId="2" borderId="0" xfId="0" applyFont="1" applyFill="1" applyAlignment="1" applyProtection="1">
      <alignment horizontal="center" vertical="center" wrapText="1"/>
      <protection locked="0"/>
    </xf>
    <xf numFmtId="164" fontId="4" fillId="2" borderId="0" xfId="0" applyNumberFormat="1" applyFont="1" applyFill="1" applyBorder="1"/>
    <xf numFmtId="0" fontId="4" fillId="2" borderId="0" xfId="0" quotePrefix="1" applyFont="1" applyFill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164" fontId="5" fillId="2" borderId="10" xfId="0" applyNumberFormat="1" applyFont="1" applyFill="1" applyBorder="1"/>
    <xf numFmtId="16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/>
    </xf>
    <xf numFmtId="164" fontId="4" fillId="2" borderId="0" xfId="0" applyNumberFormat="1" applyFont="1" applyFill="1"/>
    <xf numFmtId="0" fontId="5" fillId="2" borderId="9" xfId="0" applyFont="1" applyFill="1" applyBorder="1"/>
    <xf numFmtId="0" fontId="4" fillId="2" borderId="9" xfId="0" applyFont="1" applyFill="1" applyBorder="1" applyAlignment="1">
      <alignment horizontal="center"/>
    </xf>
    <xf numFmtId="164" fontId="5" fillId="2" borderId="9" xfId="0" applyNumberFormat="1" applyFont="1" applyFill="1" applyBorder="1"/>
    <xf numFmtId="0" fontId="5" fillId="2" borderId="13" xfId="0" applyFont="1" applyFill="1" applyBorder="1"/>
    <xf numFmtId="0" fontId="4" fillId="2" borderId="13" xfId="0" applyFont="1" applyFill="1" applyBorder="1" applyAlignment="1">
      <alignment horizontal="center"/>
    </xf>
    <xf numFmtId="164" fontId="5" fillId="2" borderId="13" xfId="0" applyNumberFormat="1" applyFont="1" applyFill="1" applyBorder="1"/>
    <xf numFmtId="168" fontId="4" fillId="2" borderId="0" xfId="0" applyNumberFormat="1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168" fontId="4" fillId="2" borderId="8" xfId="0" applyNumberFormat="1" applyFont="1" applyFill="1" applyBorder="1"/>
    <xf numFmtId="164" fontId="5" fillId="2" borderId="0" xfId="0" applyNumberFormat="1" applyFont="1" applyFill="1" applyBorder="1"/>
    <xf numFmtId="164" fontId="5" fillId="2" borderId="0" xfId="0" applyNumberFormat="1" applyFont="1" applyFill="1"/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164" fontId="4" fillId="2" borderId="8" xfId="0" applyNumberFormat="1" applyFont="1" applyFill="1" applyBorder="1"/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center"/>
    </xf>
    <xf numFmtId="0" fontId="30" fillId="2" borderId="6" xfId="0" applyFont="1" applyFill="1" applyBorder="1" applyAlignment="1">
      <alignment vertical="center"/>
    </xf>
    <xf numFmtId="0" fontId="30" fillId="2" borderId="6" xfId="0" applyFont="1" applyFill="1" applyBorder="1" applyAlignment="1">
      <alignment horizontal="center" vertical="center" wrapText="1"/>
    </xf>
    <xf numFmtId="0" fontId="10" fillId="2" borderId="6" xfId="0" quotePrefix="1" applyFont="1" applyFill="1" applyBorder="1" applyAlignment="1">
      <alignment horizontal="center" vertical="center" wrapText="1"/>
    </xf>
    <xf numFmtId="0" fontId="32" fillId="2" borderId="5" xfId="0" applyFont="1" applyFill="1" applyBorder="1"/>
    <xf numFmtId="170" fontId="30" fillId="2" borderId="0" xfId="0" applyNumberFormat="1" applyFont="1" applyFill="1" applyAlignment="1">
      <alignment horizontal="center"/>
    </xf>
    <xf numFmtId="170" fontId="30" fillId="2" borderId="0" xfId="0" applyNumberFormat="1" applyFont="1" applyFill="1"/>
    <xf numFmtId="171" fontId="32" fillId="2" borderId="0" xfId="0" applyNumberFormat="1" applyFont="1" applyFill="1" applyAlignment="1" applyProtection="1">
      <alignment horizontal="left" vertical="center"/>
      <protection locked="0"/>
    </xf>
    <xf numFmtId="170" fontId="30" fillId="2" borderId="3" xfId="0" applyNumberFormat="1" applyFont="1" applyFill="1" applyBorder="1" applyAlignment="1">
      <alignment horizontal="center"/>
    </xf>
    <xf numFmtId="168" fontId="32" fillId="2" borderId="3" xfId="0" applyNumberFormat="1" applyFont="1" applyFill="1" applyBorder="1"/>
    <xf numFmtId="164" fontId="32" fillId="2" borderId="3" xfId="0" applyNumberFormat="1" applyFont="1" applyFill="1" applyBorder="1"/>
    <xf numFmtId="0" fontId="30" fillId="2" borderId="0" xfId="0" applyFont="1" applyFill="1" applyBorder="1" applyAlignment="1">
      <alignment horizontal="left" vertical="center" wrapText="1" indent="1"/>
    </xf>
    <xf numFmtId="0" fontId="32" fillId="2" borderId="0" xfId="0" applyFont="1" applyFill="1" applyAlignment="1">
      <alignment horizontal="center"/>
    </xf>
    <xf numFmtId="168" fontId="30" fillId="2" borderId="0" xfId="0" applyNumberFormat="1" applyFont="1" applyFill="1"/>
    <xf numFmtId="0" fontId="30" fillId="2" borderId="0" xfId="0" applyFont="1" applyFill="1" applyAlignment="1">
      <alignment horizontal="left" vertical="center" wrapText="1" indent="1"/>
    </xf>
    <xf numFmtId="170" fontId="32" fillId="2" borderId="0" xfId="0" applyNumberFormat="1" applyFont="1" applyFill="1" applyAlignment="1">
      <alignment horizontal="center"/>
    </xf>
    <xf numFmtId="164" fontId="30" fillId="2" borderId="0" xfId="0" applyNumberFormat="1" applyFont="1" applyFill="1"/>
    <xf numFmtId="171" fontId="30" fillId="2" borderId="0" xfId="0" applyNumberFormat="1" applyFont="1" applyFill="1" applyAlignment="1" applyProtection="1">
      <alignment horizontal="left" vertical="center"/>
      <protection locked="0"/>
    </xf>
    <xf numFmtId="171" fontId="32" fillId="2" borderId="9" xfId="0" applyNumberFormat="1" applyFont="1" applyFill="1" applyBorder="1" applyAlignment="1" applyProtection="1">
      <alignment horizontal="left" vertical="center"/>
      <protection locked="0"/>
    </xf>
    <xf numFmtId="0" fontId="32" fillId="2" borderId="9" xfId="0" applyFont="1" applyFill="1" applyBorder="1" applyAlignment="1">
      <alignment horizontal="center"/>
    </xf>
    <xf numFmtId="164" fontId="32" fillId="2" borderId="9" xfId="0" applyNumberFormat="1" applyFont="1" applyFill="1" applyBorder="1"/>
    <xf numFmtId="0" fontId="32" fillId="2" borderId="0" xfId="0" applyFont="1" applyFill="1" applyAlignment="1">
      <alignment vertical="center" wrapText="1"/>
    </xf>
    <xf numFmtId="171" fontId="32" fillId="2" borderId="0" xfId="0" applyNumberFormat="1" applyFont="1" applyFill="1" applyBorder="1" applyAlignment="1" applyProtection="1">
      <alignment horizontal="left" vertical="center"/>
      <protection locked="0"/>
    </xf>
    <xf numFmtId="168" fontId="32" fillId="2" borderId="0" xfId="0" applyNumberFormat="1" applyFont="1" applyFill="1"/>
    <xf numFmtId="168" fontId="30" fillId="2" borderId="0" xfId="0" applyNumberFormat="1" applyFont="1" applyFill="1" applyAlignment="1" applyProtection="1"/>
    <xf numFmtId="170" fontId="32" fillId="2" borderId="9" xfId="0" applyNumberFormat="1" applyFont="1" applyFill="1" applyBorder="1" applyAlignment="1">
      <alignment horizontal="center"/>
    </xf>
    <xf numFmtId="168" fontId="32" fillId="2" borderId="9" xfId="0" applyNumberFormat="1" applyFont="1" applyFill="1" applyBorder="1"/>
    <xf numFmtId="0" fontId="30" fillId="2" borderId="0" xfId="0" quotePrefix="1" applyFont="1" applyFill="1" applyAlignment="1">
      <alignment horizontal="left" vertical="center" indent="1"/>
    </xf>
    <xf numFmtId="0" fontId="30" fillId="2" borderId="0" xfId="0" applyFont="1" applyFill="1" applyAlignment="1">
      <alignment horizontal="left" vertical="center" indent="1"/>
    </xf>
    <xf numFmtId="0" fontId="30" fillId="2" borderId="0" xfId="0" applyFont="1" applyFill="1" applyBorder="1" applyAlignment="1">
      <alignment horizontal="left" vertical="center" indent="1"/>
    </xf>
    <xf numFmtId="0" fontId="32" fillId="2" borderId="0" xfId="0" applyFont="1" applyFill="1" applyBorder="1" applyAlignment="1">
      <alignment horizontal="center"/>
    </xf>
    <xf numFmtId="168" fontId="30" fillId="2" borderId="0" xfId="0" applyNumberFormat="1" applyFont="1" applyFill="1" applyBorder="1"/>
    <xf numFmtId="171" fontId="32" fillId="2" borderId="1" xfId="0" applyNumberFormat="1" applyFont="1" applyFill="1" applyBorder="1" applyAlignment="1" applyProtection="1">
      <alignment horizontal="left" vertical="center"/>
      <protection locked="0"/>
    </xf>
    <xf numFmtId="0" fontId="32" fillId="2" borderId="1" xfId="0" applyFont="1" applyFill="1" applyBorder="1" applyAlignment="1">
      <alignment horizontal="center"/>
    </xf>
    <xf numFmtId="168" fontId="32" fillId="2" borderId="1" xfId="0" applyNumberFormat="1" applyFont="1" applyFill="1" applyBorder="1"/>
    <xf numFmtId="0" fontId="32" fillId="2" borderId="0" xfId="0" applyFont="1" applyFill="1" applyBorder="1" applyAlignment="1">
      <alignment horizontal="left" vertical="center" wrapText="1"/>
    </xf>
    <xf numFmtId="170" fontId="32" fillId="2" borderId="0" xfId="0" applyNumberFormat="1" applyFont="1" applyFill="1" applyBorder="1" applyAlignment="1">
      <alignment horizontal="center"/>
    </xf>
    <xf numFmtId="0" fontId="32" fillId="2" borderId="9" xfId="0" applyFont="1" applyFill="1" applyBorder="1" applyAlignment="1">
      <alignment horizontal="left" vertical="center"/>
    </xf>
    <xf numFmtId="170" fontId="30" fillId="2" borderId="0" xfId="0" applyNumberFormat="1" applyFont="1" applyFill="1" applyAlignment="1" applyProtection="1">
      <alignment horizontal="left" vertical="center" indent="1"/>
      <protection locked="0"/>
    </xf>
    <xf numFmtId="170" fontId="32" fillId="2" borderId="0" xfId="0" applyNumberFormat="1" applyFont="1" applyFill="1" applyAlignment="1" applyProtection="1">
      <alignment vertical="center"/>
      <protection locked="0"/>
    </xf>
    <xf numFmtId="0" fontId="32" fillId="2" borderId="0" xfId="0" applyNumberFormat="1" applyFont="1" applyFill="1" applyBorder="1" applyAlignment="1">
      <alignment horizontal="center"/>
    </xf>
    <xf numFmtId="164" fontId="32" fillId="2" borderId="0" xfId="0" applyNumberFormat="1" applyFont="1" applyFill="1" applyBorder="1"/>
    <xf numFmtId="0" fontId="34" fillId="2" borderId="1" xfId="0" applyFont="1" applyFill="1" applyBorder="1" applyAlignment="1">
      <alignment horizontal="left" indent="1"/>
    </xf>
    <xf numFmtId="168" fontId="30" fillId="2" borderId="1" xfId="0" applyNumberFormat="1" applyFont="1" applyFill="1" applyBorder="1"/>
    <xf numFmtId="0" fontId="35" fillId="2" borderId="0" xfId="0" applyFont="1" applyFill="1" applyBorder="1" applyAlignment="1">
      <alignment vertical="center"/>
    </xf>
    <xf numFmtId="0" fontId="36" fillId="2" borderId="0" xfId="0" applyFont="1" applyFill="1" applyBorder="1"/>
    <xf numFmtId="0" fontId="7" fillId="4" borderId="0" xfId="0" applyFont="1" applyFill="1" applyBorder="1" applyAlignment="1">
      <alignment horizontal="left" vertical="center" indent="1"/>
    </xf>
    <xf numFmtId="0" fontId="7" fillId="5" borderId="0" xfId="0" applyFont="1" applyFill="1" applyBorder="1" applyAlignment="1">
      <alignment vertical="center"/>
    </xf>
    <xf numFmtId="0" fontId="21" fillId="5" borderId="0" xfId="0" applyFont="1" applyFill="1"/>
    <xf numFmtId="0" fontId="21" fillId="4" borderId="0" xfId="0" applyFont="1" applyFill="1"/>
    <xf numFmtId="0" fontId="4" fillId="2" borderId="6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right"/>
    </xf>
    <xf numFmtId="3" fontId="0" fillId="2" borderId="0" xfId="0" applyNumberFormat="1" applyFill="1"/>
    <xf numFmtId="164" fontId="4" fillId="0" borderId="0" xfId="0" applyNumberFormat="1" applyFont="1" applyFill="1"/>
    <xf numFmtId="164" fontId="0" fillId="2" borderId="0" xfId="0" applyNumberFormat="1" applyFill="1"/>
    <xf numFmtId="170" fontId="4" fillId="2" borderId="0" xfId="0" applyNumberFormat="1" applyFont="1" applyFill="1" applyAlignment="1">
      <alignment horizontal="right"/>
    </xf>
    <xf numFmtId="3" fontId="4" fillId="2" borderId="8" xfId="0" applyNumberFormat="1" applyFont="1" applyFill="1" applyBorder="1"/>
    <xf numFmtId="0" fontId="4" fillId="2" borderId="10" xfId="0" applyFont="1" applyFill="1" applyBorder="1"/>
    <xf numFmtId="164" fontId="4" fillId="2" borderId="10" xfId="0" applyNumberFormat="1" applyFont="1" applyFill="1" applyBorder="1" applyAlignment="1">
      <alignment horizontal="right"/>
    </xf>
    <xf numFmtId="164" fontId="4" fillId="2" borderId="10" xfId="0" applyNumberFormat="1" applyFont="1" applyFill="1" applyBorder="1"/>
    <xf numFmtId="3" fontId="4" fillId="2" borderId="10" xfId="0" applyNumberFormat="1" applyFont="1" applyFill="1" applyBorder="1"/>
    <xf numFmtId="164" fontId="4" fillId="2" borderId="4" xfId="0" applyNumberFormat="1" applyFont="1" applyFill="1" applyBorder="1" applyAlignment="1">
      <alignment horizontal="right"/>
    </xf>
    <xf numFmtId="164" fontId="4" fillId="2" borderId="4" xfId="0" applyNumberFormat="1" applyFont="1" applyFill="1" applyBorder="1"/>
    <xf numFmtId="0" fontId="0" fillId="2" borderId="8" xfId="0" applyFill="1" applyBorder="1"/>
    <xf numFmtId="170" fontId="4" fillId="2" borderId="10" xfId="0" applyNumberFormat="1" applyFont="1" applyFill="1" applyBorder="1"/>
    <xf numFmtId="164" fontId="4" fillId="2" borderId="3" xfId="0" applyNumberFormat="1" applyFont="1" applyFill="1" applyBorder="1" applyAlignment="1">
      <alignment horizontal="right"/>
    </xf>
    <xf numFmtId="164" fontId="4" fillId="2" borderId="0" xfId="0" applyNumberFormat="1" applyFont="1" applyFill="1" applyBorder="1" applyAlignment="1">
      <alignment horizontal="right"/>
    </xf>
    <xf numFmtId="170" fontId="4" fillId="2" borderId="0" xfId="0" applyNumberFormat="1" applyFont="1" applyFill="1"/>
    <xf numFmtId="170" fontId="4" fillId="2" borderId="0" xfId="0" applyNumberFormat="1" applyFont="1" applyFill="1" applyBorder="1" applyAlignment="1">
      <alignment horizontal="right"/>
    </xf>
    <xf numFmtId="171" fontId="4" fillId="2" borderId="0" xfId="0" applyNumberFormat="1" applyFont="1" applyFill="1" applyBorder="1" applyAlignment="1">
      <alignment horizontal="right"/>
    </xf>
    <xf numFmtId="172" fontId="4" fillId="2" borderId="4" xfId="0" applyNumberFormat="1" applyFont="1" applyFill="1" applyBorder="1" applyAlignment="1">
      <alignment horizontal="right"/>
    </xf>
    <xf numFmtId="164" fontId="4" fillId="2" borderId="5" xfId="0" applyNumberFormat="1" applyFont="1" applyFill="1" applyBorder="1" applyAlignment="1">
      <alignment horizontal="right"/>
    </xf>
    <xf numFmtId="172" fontId="4" fillId="2" borderId="8" xfId="0" applyNumberFormat="1" applyFont="1" applyFill="1" applyBorder="1" applyAlignment="1">
      <alignment horizontal="right"/>
    </xf>
    <xf numFmtId="172" fontId="4" fillId="2" borderId="8" xfId="0" applyNumberFormat="1" applyFont="1" applyFill="1" applyBorder="1"/>
    <xf numFmtId="170" fontId="4" fillId="2" borderId="8" xfId="0" applyNumberFormat="1" applyFont="1" applyFill="1" applyBorder="1"/>
    <xf numFmtId="0" fontId="7" fillId="4" borderId="1" xfId="0" applyFont="1" applyFill="1" applyBorder="1" applyAlignment="1">
      <alignment horizontal="left" indent="1"/>
    </xf>
    <xf numFmtId="0" fontId="21" fillId="4" borderId="1" xfId="0" applyFont="1" applyFill="1" applyBorder="1"/>
    <xf numFmtId="3" fontId="21" fillId="4" borderId="0" xfId="0" applyNumberFormat="1" applyFont="1" applyFill="1"/>
    <xf numFmtId="3" fontId="4" fillId="2" borderId="6" xfId="0" applyNumberFormat="1" applyFont="1" applyFill="1" applyBorder="1" applyAlignment="1">
      <alignment horizontal="center" vertical="center" wrapText="1"/>
    </xf>
    <xf numFmtId="171" fontId="4" fillId="2" borderId="0" xfId="0" applyNumberFormat="1" applyFont="1" applyFill="1"/>
    <xf numFmtId="0" fontId="4" fillId="2" borderId="11" xfId="0" applyFont="1" applyFill="1" applyBorder="1"/>
    <xf numFmtId="164" fontId="6" fillId="2" borderId="0" xfId="0" applyNumberFormat="1" applyFont="1" applyFill="1" applyBorder="1"/>
    <xf numFmtId="164" fontId="4" fillId="2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/>
    <xf numFmtId="164" fontId="4" fillId="2" borderId="11" xfId="0" applyNumberFormat="1" applyFont="1" applyFill="1" applyBorder="1"/>
    <xf numFmtId="164" fontId="5" fillId="2" borderId="5" xfId="0" applyNumberFormat="1" applyFont="1" applyFill="1" applyBorder="1"/>
    <xf numFmtId="164" fontId="6" fillId="2" borderId="5" xfId="0" applyNumberFormat="1" applyFont="1" applyFill="1" applyBorder="1"/>
    <xf numFmtId="0" fontId="0" fillId="2" borderId="5" xfId="0" applyFill="1" applyBorder="1"/>
    <xf numFmtId="164" fontId="6" fillId="2" borderId="3" xfId="0" applyNumberFormat="1" applyFont="1" applyFill="1" applyBorder="1"/>
    <xf numFmtId="171" fontId="4" fillId="2" borderId="0" xfId="0" applyNumberFormat="1" applyFont="1" applyFill="1" applyBorder="1"/>
    <xf numFmtId="170" fontId="6" fillId="2" borderId="0" xfId="0" applyNumberFormat="1" applyFont="1" applyFill="1" applyBorder="1"/>
    <xf numFmtId="164" fontId="6" fillId="2" borderId="4" xfId="0" applyNumberFormat="1" applyFont="1" applyFill="1" applyBorder="1"/>
    <xf numFmtId="164" fontId="4" fillId="2" borderId="5" xfId="0" applyNumberFormat="1" applyFont="1" applyFill="1" applyBorder="1"/>
    <xf numFmtId="171" fontId="6" fillId="2" borderId="0" xfId="0" applyNumberFormat="1" applyFont="1" applyFill="1" applyBorder="1"/>
    <xf numFmtId="171" fontId="4" fillId="2" borderId="8" xfId="0" applyNumberFormat="1" applyFont="1" applyFill="1" applyBorder="1"/>
    <xf numFmtId="3" fontId="4" fillId="2" borderId="14" xfId="0" applyNumberFormat="1" applyFont="1" applyFill="1" applyBorder="1"/>
    <xf numFmtId="170" fontId="6" fillId="2" borderId="8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4" fillId="2" borderId="4" xfId="0" applyFont="1" applyFill="1" applyBorder="1" applyAlignment="1">
      <alignment vertical="center"/>
    </xf>
    <xf numFmtId="0" fontId="6" fillId="2" borderId="5" xfId="0" applyFont="1" applyFill="1" applyBorder="1"/>
    <xf numFmtId="0" fontId="6" fillId="2" borderId="0" xfId="0" applyFont="1" applyFill="1"/>
    <xf numFmtId="0" fontId="4" fillId="2" borderId="0" xfId="0" applyFont="1" applyFill="1" applyAlignment="1">
      <alignment horizontal="left" wrapText="1" indent="1"/>
    </xf>
    <xf numFmtId="170" fontId="6" fillId="2" borderId="0" xfId="0" applyNumberFormat="1" applyFont="1" applyFill="1"/>
    <xf numFmtId="3" fontId="6" fillId="2" borderId="0" xfId="0" applyNumberFormat="1" applyFont="1" applyFill="1"/>
    <xf numFmtId="171" fontId="6" fillId="2" borderId="0" xfId="0" applyNumberFormat="1" applyFont="1" applyFill="1"/>
    <xf numFmtId="0" fontId="4" fillId="0" borderId="0" xfId="0" applyFont="1" applyFill="1" applyAlignment="1">
      <alignment horizontal="left" indent="1"/>
    </xf>
    <xf numFmtId="164" fontId="37" fillId="2" borderId="0" xfId="0" applyNumberFormat="1" applyFont="1" applyFill="1"/>
    <xf numFmtId="171" fontId="6" fillId="2" borderId="0" xfId="0" applyNumberFormat="1" applyFont="1" applyFill="1" applyAlignment="1" applyProtection="1">
      <alignment horizontal="right" vertical="center"/>
      <protection locked="0"/>
    </xf>
    <xf numFmtId="4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171" fontId="38" fillId="2" borderId="0" xfId="0" applyNumberFormat="1" applyFont="1" applyFill="1" applyAlignment="1" applyProtection="1">
      <alignment horizontal="right" vertical="center"/>
      <protection locked="0"/>
    </xf>
    <xf numFmtId="171" fontId="0" fillId="2" borderId="0" xfId="0" applyNumberFormat="1" applyFill="1"/>
    <xf numFmtId="171" fontId="4" fillId="2" borderId="5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 vertical="top"/>
    </xf>
    <xf numFmtId="171" fontId="4" fillId="2" borderId="3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171" fontId="39" fillId="2" borderId="0" xfId="0" applyNumberFormat="1" applyFont="1" applyFill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left" indent="1"/>
    </xf>
    <xf numFmtId="171" fontId="4" fillId="2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/>
    <xf numFmtId="164" fontId="4" fillId="2" borderId="0" xfId="0" applyNumberFormat="1" applyFont="1" applyFill="1" applyBorder="1" applyAlignment="1">
      <alignment horizontal="right" indent="1"/>
    </xf>
    <xf numFmtId="0" fontId="4" fillId="2" borderId="0" xfId="0" applyNumberFormat="1" applyFont="1" applyFill="1" applyBorder="1" applyAlignment="1">
      <alignment horizontal="right"/>
    </xf>
    <xf numFmtId="171" fontId="6" fillId="2" borderId="0" xfId="0" applyNumberFormat="1" applyFont="1" applyFill="1" applyBorder="1" applyAlignment="1" applyProtection="1">
      <alignment horizontal="right" vertical="center"/>
      <protection locked="0"/>
    </xf>
    <xf numFmtId="171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171" fontId="6" fillId="2" borderId="10" xfId="0" applyNumberFormat="1" applyFont="1" applyFill="1" applyBorder="1" applyAlignment="1" applyProtection="1">
      <alignment horizontal="right" vertical="center"/>
      <protection locked="0"/>
    </xf>
    <xf numFmtId="170" fontId="6" fillId="2" borderId="8" xfId="0" applyNumberFormat="1" applyFont="1" applyFill="1" applyBorder="1" applyAlignment="1" applyProtection="1">
      <alignment horizontal="right" vertical="center"/>
      <protection locked="0"/>
    </xf>
    <xf numFmtId="170" fontId="4" fillId="2" borderId="8" xfId="0" applyNumberFormat="1" applyFont="1" applyFill="1" applyBorder="1" applyAlignment="1" applyProtection="1">
      <alignment horizontal="right" vertical="center"/>
      <protection locked="0"/>
    </xf>
    <xf numFmtId="0" fontId="40" fillId="2" borderId="0" xfId="0" applyFont="1" applyFill="1"/>
    <xf numFmtId="0" fontId="41" fillId="4" borderId="1" xfId="0" applyFont="1" applyFill="1" applyBorder="1"/>
    <xf numFmtId="170" fontId="6" fillId="2" borderId="0" xfId="0" applyNumberFormat="1" applyFont="1" applyFill="1" applyAlignment="1" applyProtection="1">
      <alignment horizontal="right" vertical="center"/>
      <protection locked="0"/>
    </xf>
    <xf numFmtId="171" fontId="42" fillId="2" borderId="0" xfId="0" applyNumberFormat="1" applyFont="1" applyFill="1" applyAlignment="1" applyProtection="1">
      <alignment horizontal="right" vertical="center"/>
      <protection locked="0"/>
    </xf>
    <xf numFmtId="171" fontId="43" fillId="2" borderId="0" xfId="0" applyNumberFormat="1" applyFont="1" applyFill="1" applyAlignment="1" applyProtection="1">
      <alignment horizontal="right" vertical="center"/>
      <protection locked="0"/>
    </xf>
    <xf numFmtId="171" fontId="4" fillId="2" borderId="0" xfId="0" applyNumberFormat="1" applyFont="1" applyFill="1" applyAlignment="1" applyProtection="1">
      <alignment horizontal="right" vertical="center"/>
      <protection locked="0"/>
    </xf>
    <xf numFmtId="171" fontId="6" fillId="2" borderId="8" xfId="0" applyNumberFormat="1" applyFont="1" applyFill="1" applyBorder="1" applyAlignment="1" applyProtection="1">
      <alignment horizontal="right" vertical="center"/>
      <protection locked="0"/>
    </xf>
    <xf numFmtId="171" fontId="4" fillId="2" borderId="8" xfId="0" applyNumberFormat="1" applyFont="1" applyFill="1" applyBorder="1" applyAlignment="1" applyProtection="1">
      <alignment horizontal="right" vertical="center"/>
      <protection locked="0"/>
    </xf>
    <xf numFmtId="171" fontId="10" fillId="2" borderId="0" xfId="0" applyNumberFormat="1" applyFont="1" applyFill="1" applyAlignment="1" applyProtection="1">
      <alignment horizontal="right" vertical="center" indent="1"/>
      <protection locked="0"/>
    </xf>
    <xf numFmtId="171" fontId="4" fillId="0" borderId="0" xfId="0" applyNumberFormat="1" applyFont="1" applyFill="1" applyBorder="1" applyAlignment="1" applyProtection="1">
      <alignment horizontal="right" vertical="center"/>
      <protection locked="0"/>
    </xf>
    <xf numFmtId="171" fontId="6" fillId="2" borderId="0" xfId="0" applyNumberFormat="1" applyFont="1" applyFill="1" applyAlignment="1" applyProtection="1">
      <alignment horizontal="right" vertical="center" indent="1"/>
      <protection locked="0"/>
    </xf>
    <xf numFmtId="171" fontId="6" fillId="0" borderId="0" xfId="0" applyNumberFormat="1" applyFont="1" applyFill="1" applyAlignment="1" applyProtection="1">
      <alignment horizontal="right" vertical="center"/>
      <protection locked="0"/>
    </xf>
    <xf numFmtId="0" fontId="4" fillId="0" borderId="4" xfId="0" applyFont="1" applyFill="1" applyBorder="1"/>
    <xf numFmtId="171" fontId="6" fillId="2" borderId="15" xfId="0" applyNumberFormat="1" applyFont="1" applyFill="1" applyBorder="1" applyAlignment="1" applyProtection="1">
      <alignment horizontal="right" vertical="center"/>
      <protection locked="0"/>
    </xf>
    <xf numFmtId="171" fontId="4" fillId="2" borderId="10" xfId="0" applyNumberFormat="1" applyFont="1" applyFill="1" applyBorder="1" applyAlignment="1" applyProtection="1">
      <alignment horizontal="right" vertical="center"/>
      <protection locked="0"/>
    </xf>
    <xf numFmtId="171" fontId="43" fillId="2" borderId="0" xfId="0" applyNumberFormat="1" applyFont="1" applyFill="1" applyBorder="1" applyAlignment="1" applyProtection="1">
      <alignment horizontal="right" vertical="center"/>
      <protection locked="0"/>
    </xf>
    <xf numFmtId="164" fontId="6" fillId="2" borderId="10" xfId="0" applyNumberFormat="1" applyFont="1" applyFill="1" applyBorder="1"/>
    <xf numFmtId="171" fontId="23" fillId="2" borderId="0" xfId="0" applyNumberFormat="1" applyFont="1" applyFill="1" applyAlignment="1" applyProtection="1"/>
    <xf numFmtId="171" fontId="23" fillId="2" borderId="8" xfId="0" applyNumberFormat="1" applyFont="1" applyFill="1" applyBorder="1" applyAlignment="1" applyProtection="1"/>
    <xf numFmtId="171" fontId="6" fillId="2" borderId="16" xfId="0" applyNumberFormat="1" applyFont="1" applyFill="1" applyBorder="1" applyAlignment="1" applyProtection="1">
      <alignment horizontal="right" vertical="center"/>
      <protection locked="0"/>
    </xf>
    <xf numFmtId="164" fontId="40" fillId="2" borderId="0" xfId="0" applyNumberFormat="1" applyFont="1" applyFill="1"/>
    <xf numFmtId="0" fontId="40" fillId="4" borderId="1" xfId="0" applyFont="1" applyFill="1" applyBorder="1"/>
    <xf numFmtId="171" fontId="6" fillId="2" borderId="17" xfId="0" applyNumberFormat="1" applyFont="1" applyFill="1" applyBorder="1" applyAlignment="1" applyProtection="1">
      <alignment horizontal="right" vertical="center"/>
      <protection locked="0"/>
    </xf>
    <xf numFmtId="171" fontId="6" fillId="2" borderId="15" xfId="0" applyNumberFormat="1" applyFont="1" applyFill="1" applyBorder="1"/>
    <xf numFmtId="171" fontId="6" fillId="2" borderId="11" xfId="0" applyNumberFormat="1" applyFont="1" applyFill="1" applyBorder="1" applyAlignment="1" applyProtection="1">
      <alignment horizontal="right" vertical="center"/>
      <protection locked="0"/>
    </xf>
    <xf numFmtId="171" fontId="6" fillId="2" borderId="0" xfId="0" applyNumberFormat="1" applyFont="1" applyFill="1" applyAlignment="1" applyProtection="1">
      <alignment vertical="center"/>
      <protection locked="0"/>
    </xf>
    <xf numFmtId="171" fontId="6" fillId="2" borderId="1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164" fontId="4" fillId="2" borderId="5" xfId="0" applyNumberFormat="1" applyFont="1" applyFill="1" applyBorder="1" applyAlignment="1">
      <alignment horizontal="right" vertical="top"/>
    </xf>
    <xf numFmtId="164" fontId="4" fillId="2" borderId="4" xfId="0" applyNumberFormat="1" applyFont="1" applyFill="1" applyBorder="1" applyAlignment="1">
      <alignment horizontal="right" vertical="top"/>
    </xf>
    <xf numFmtId="172" fontId="4" fillId="2" borderId="8" xfId="0" applyNumberFormat="1" applyFont="1" applyFill="1" applyBorder="1" applyAlignment="1">
      <alignment horizontal="right" vertical="top"/>
    </xf>
    <xf numFmtId="164" fontId="4" fillId="0" borderId="4" xfId="0" applyNumberFormat="1" applyFont="1" applyFill="1" applyBorder="1"/>
    <xf numFmtId="170" fontId="4" fillId="2" borderId="0" xfId="0" applyNumberFormat="1" applyFont="1" applyFill="1" applyBorder="1"/>
    <xf numFmtId="43" fontId="4" fillId="2" borderId="8" xfId="0" applyNumberFormat="1" applyFont="1" applyFill="1" applyBorder="1"/>
    <xf numFmtId="43" fontId="4" fillId="2" borderId="0" xfId="0" applyNumberFormat="1" applyFont="1" applyFill="1"/>
    <xf numFmtId="170" fontId="0" fillId="2" borderId="0" xfId="0" applyNumberFormat="1" applyFill="1"/>
    <xf numFmtId="43" fontId="6" fillId="2" borderId="0" xfId="0" applyNumberFormat="1" applyFont="1" applyFill="1"/>
    <xf numFmtId="164" fontId="6" fillId="2" borderId="18" xfId="0" applyNumberFormat="1" applyFont="1" applyFill="1" applyBorder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171" fontId="6" fillId="2" borderId="0" xfId="0" applyNumberFormat="1" applyFont="1" applyFill="1" applyAlignment="1" applyProtection="1">
      <alignment horizontal="right" vertical="center"/>
      <protection locked="0"/>
    </xf>
    <xf numFmtId="171" fontId="6" fillId="2" borderId="0" xfId="0" applyNumberFormat="1" applyFont="1" applyFill="1" applyAlignment="1" applyProtection="1">
      <alignment horizontal="right" vertical="center"/>
      <protection locked="0"/>
    </xf>
    <xf numFmtId="164" fontId="6" fillId="0" borderId="0" xfId="0" applyNumberFormat="1" applyFont="1" applyFill="1" applyBorder="1"/>
    <xf numFmtId="171" fontId="6" fillId="2" borderId="0" xfId="0" applyNumberFormat="1" applyFont="1" applyFill="1" applyAlignment="1" applyProtection="1">
      <alignment horizontal="right" vertical="center"/>
      <protection locked="0"/>
    </xf>
    <xf numFmtId="38" fontId="0" fillId="2" borderId="0" xfId="0" applyNumberFormat="1" applyFill="1"/>
    <xf numFmtId="43" fontId="4" fillId="2" borderId="0" xfId="0" applyNumberFormat="1" applyFont="1" applyFill="1" applyAlignment="1">
      <alignment horizontal="right"/>
    </xf>
    <xf numFmtId="164" fontId="39" fillId="2" borderId="0" xfId="0" applyNumberFormat="1" applyFont="1" applyFill="1"/>
    <xf numFmtId="0" fontId="17" fillId="2" borderId="1" xfId="0" applyFont="1" applyFill="1" applyBorder="1" applyAlignment="1">
      <alignment vertical="center"/>
    </xf>
    <xf numFmtId="0" fontId="44" fillId="2" borderId="0" xfId="0" applyFont="1" applyFill="1"/>
    <xf numFmtId="0" fontId="4" fillId="2" borderId="9" xfId="0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164" fontId="4" fillId="2" borderId="0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2" borderId="0" xfId="0" applyFont="1" applyFill="1" applyAlignment="1">
      <alignment horizontal="right" vertical="center"/>
    </xf>
    <xf numFmtId="171" fontId="6" fillId="2" borderId="0" xfId="0" applyNumberFormat="1" applyFont="1" applyFill="1" applyAlignment="1" applyProtection="1">
      <alignment horizontal="right" vertical="center"/>
      <protection locked="0"/>
    </xf>
    <xf numFmtId="171" fontId="6" fillId="2" borderId="0" xfId="0" applyNumberFormat="1" applyFont="1" applyFill="1" applyAlignment="1" applyProtection="1">
      <alignment horizontal="right" vertical="center" indent="1"/>
      <protection locked="0"/>
    </xf>
    <xf numFmtId="0" fontId="0" fillId="2" borderId="0" xfId="0" applyFill="1" applyAlignment="1">
      <alignment horizontal="right" vertical="center" indent="1"/>
    </xf>
    <xf numFmtId="171" fontId="4" fillId="2" borderId="0" xfId="0" applyNumberFormat="1" applyFont="1" applyFill="1" applyAlignment="1" applyProtection="1">
      <alignment horizontal="right" vertical="center"/>
      <protection locked="0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6" Type="http://schemas.openxmlformats.org/officeDocument/2006/relationships/revisionHeaders" Target="revisions/revisionHeader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wiechecka/Documents/SKONSOLIDOWANE%20GRUPA/RAPORT%20IIQ%202016/Tabele_gie&#322;da_Q2_2016_201608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ełda (2)"/>
      <sheetName val="Cognos_Office_Connection_Cache"/>
      <sheetName val="Q2_2016"/>
    </sheetNames>
    <sheetDataSet>
      <sheetData sheetId="0"/>
      <sheetData sheetId="1"/>
      <sheetData sheetId="2">
        <row r="192">
          <cell r="C192">
            <v>90654</v>
          </cell>
          <cell r="D192">
            <v>146245</v>
          </cell>
          <cell r="I192">
            <v>27237</v>
          </cell>
          <cell r="J192">
            <v>86032</v>
          </cell>
        </row>
        <row r="198">
          <cell r="C198">
            <v>599820</v>
          </cell>
          <cell r="D198">
            <v>885569</v>
          </cell>
          <cell r="I198">
            <v>343886</v>
          </cell>
          <cell r="J198">
            <v>462379</v>
          </cell>
        </row>
        <row r="204">
          <cell r="C204">
            <v>744339</v>
          </cell>
          <cell r="D204">
            <v>696246</v>
          </cell>
          <cell r="I204">
            <v>416024</v>
          </cell>
          <cell r="J204">
            <v>410845</v>
          </cell>
        </row>
        <row r="210">
          <cell r="C210">
            <v>757</v>
          </cell>
          <cell r="D210">
            <v>2531</v>
          </cell>
          <cell r="I210">
            <v>78</v>
          </cell>
          <cell r="J210">
            <v>893</v>
          </cell>
        </row>
        <row r="216">
          <cell r="C216">
            <v>16560</v>
          </cell>
          <cell r="D216">
            <v>40136</v>
          </cell>
          <cell r="I216">
            <v>11182</v>
          </cell>
          <cell r="J216">
            <v>18900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39" Type="http://schemas.openxmlformats.org/officeDocument/2006/relationships/revisionLog" Target="revisionLog39.xml"/><Relationship Id="rId21" Type="http://schemas.openxmlformats.org/officeDocument/2006/relationships/revisionLog" Target="revisionLog21.xml"/><Relationship Id="rId34" Type="http://schemas.openxmlformats.org/officeDocument/2006/relationships/revisionLog" Target="revisionLog34.xml"/><Relationship Id="rId42" Type="http://schemas.openxmlformats.org/officeDocument/2006/relationships/revisionLog" Target="revisionLog42.xml"/><Relationship Id="rId47" Type="http://schemas.openxmlformats.org/officeDocument/2006/relationships/revisionLog" Target="revisionLog47.xml"/><Relationship Id="rId50" Type="http://schemas.openxmlformats.org/officeDocument/2006/relationships/revisionLog" Target="revisionLog50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9" Type="http://schemas.openxmlformats.org/officeDocument/2006/relationships/revisionLog" Target="revisionLog29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40" Type="http://schemas.openxmlformats.org/officeDocument/2006/relationships/revisionLog" Target="revisionLog40.xml"/><Relationship Id="rId45" Type="http://schemas.openxmlformats.org/officeDocument/2006/relationships/revisionLog" Target="revisionLog45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36" Type="http://schemas.openxmlformats.org/officeDocument/2006/relationships/revisionLog" Target="revisionLog36.xml"/><Relationship Id="rId49" Type="http://schemas.openxmlformats.org/officeDocument/2006/relationships/revisionLog" Target="revisionLog49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31" Type="http://schemas.openxmlformats.org/officeDocument/2006/relationships/revisionLog" Target="revisionLog31.xml"/><Relationship Id="rId44" Type="http://schemas.openxmlformats.org/officeDocument/2006/relationships/revisionLog" Target="revisionLog44.xml"/><Relationship Id="rId52" Type="http://schemas.openxmlformats.org/officeDocument/2006/relationships/revisionLog" Target="revisionLog52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Relationship Id="rId43" Type="http://schemas.openxmlformats.org/officeDocument/2006/relationships/revisionLog" Target="revisionLog43.xml"/><Relationship Id="rId48" Type="http://schemas.openxmlformats.org/officeDocument/2006/relationships/revisionLog" Target="revisionLog48.xml"/><Relationship Id="rId8" Type="http://schemas.openxmlformats.org/officeDocument/2006/relationships/revisionLog" Target="revisionLog8.xml"/><Relationship Id="rId51" Type="http://schemas.openxmlformats.org/officeDocument/2006/relationships/revisionLog" Target="revisionLog51.xml"/><Relationship Id="rId3" Type="http://schemas.openxmlformats.org/officeDocument/2006/relationships/revisionLog" Target="revisionLog3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Relationship Id="rId46" Type="http://schemas.openxmlformats.org/officeDocument/2006/relationships/revisionLog" Target="revisionLog46.xml"/><Relationship Id="rId20" Type="http://schemas.openxmlformats.org/officeDocument/2006/relationships/revisionLog" Target="revisionLog20.xml"/><Relationship Id="rId41" Type="http://schemas.openxmlformats.org/officeDocument/2006/relationships/revisionLog" Target="revisionLog41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C9B78FB-EA97-4B7A-B4EB-31966582E2AB}" diskRevisions="1" revisionId="1150" version="4">
  <header guid="{7AD0D567-A65E-4309-8E25-F000C937BD08}" dateTime="2016-08-09T12:21:49" maxSheetId="11" userName="Otto Sonia" r:id="rId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5C2E758-92C4-4816-BD94-C661221086D0}" dateTime="2016-08-09T12:28:30" maxSheetId="11" userName="Otto Sonia" r:id="rId2" minRId="1" maxRId="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6ECE9BE4-5F84-4DF7-89FD-58C81F4E3352}" dateTime="2016-08-09T12:31:40" maxSheetId="11" userName="Otto Sonia" r:id="rId3" minRId="7" maxRId="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C5A857C3-0841-48BF-AC33-2ABF6ABCFFD6}" dateTime="2016-08-09T12:34:21" maxSheetId="11" userName="Otto Sonia" r:id="rId4" minRId="1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F7599424-17A2-4FDF-92CC-37CE941132B5}" dateTime="2016-08-09T12:37:30" maxSheetId="11" userName="Otto Sonia" r:id="rId5" minRId="11" maxRId="12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BB8ED852-48C2-4AB1-8571-E825FA3F1183}" dateTime="2016-08-09T12:37:35" maxSheetId="11" userName="Maciejczyk Ewa" r:id="rId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F80D227F-3DE7-46E0-926A-335C88BD7C13}" dateTime="2016-08-09T12:39:03" maxSheetId="11" userName="Maciejczyk Ewa" r:id="rId7" minRId="13" maxRId="1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88F110FD-843D-4A7F-8DF0-73DCE153C950}" dateTime="2016-08-09T12:41:03" maxSheetId="11" userName="Otto Sonia" r:id="rId8" minRId="1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1C5D3C0C-2240-4FCD-BC61-F2D1B1280F7E}" dateTime="2016-08-09T12:45:02" maxSheetId="11" userName="Otto Sonia" r:id="rId9" minRId="20" maxRId="2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C3E3E078-3FC6-40A3-82BF-A1808DC17034}" dateTime="2016-08-09T12:45:09" maxSheetId="11" userName="Maciejczyk Ewa" r:id="rId10" minRId="22" maxRId="3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069C1490-B8EA-4957-9E42-BE1466C30920}" dateTime="2016-08-09T12:46:31" maxSheetId="11" userName="Otto Sonia" r:id="rId11" minRId="3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72D4E917-FDCF-47B4-9478-0615E27D87E1}" dateTime="2016-08-09T12:51:48" maxSheetId="11" userName="Otto Sonia" r:id="rId12" minRId="3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56559279-910D-46DD-B1F6-AD3C5F37A7D3}" dateTime="2016-08-09T12:56:46" maxSheetId="11" userName="Maciejczyk Ewa" r:id="rId13" minRId="37" maxRId="5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99693FF-B3FF-41D0-9E4E-7A08017BE8F9}" dateTime="2016-08-09T13:13:46" maxSheetId="11" userName="Otto Sonia" r:id="rId14" minRId="51" maxRId="7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6B188923-92B2-45BF-889A-6F8EC2BC417D}" dateTime="2016-08-09T13:26:04" maxSheetId="11" userName="Otto Sonia" r:id="rId15" minRId="72" maxRId="9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EFBBA643-5037-40DF-B4EC-1965D7D4AEBA}" dateTime="2016-08-09T13:47:13" maxSheetId="11" userName="Otto Sonia" r:id="rId16" minRId="100" maxRId="17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CF24A4A-A486-40FF-8CA5-CE7BF83C90A7}" dateTime="2016-08-09T13:52:16" maxSheetId="11" userName="Otto Sonia" r:id="rId17" minRId="176" maxRId="202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EDC543C7-9924-48C2-978C-51515ED5C0FF}" dateTime="2016-08-09T14:01:43" maxSheetId="11" userName="Maciejczyk Ewa" r:id="rId18" minRId="203" maxRId="20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8782C996-7703-4F96-B731-F51C7F6AD877}" dateTime="2016-08-09T14:12:54" maxSheetId="11" userName="Maciejczyk Ewa" r:id="rId19" minRId="206" maxRId="24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1EE8FB19-DB6B-4B8B-9A4F-193E8B264500}" dateTime="2016-08-09T14:29:04" maxSheetId="11" userName="Otto Sonia" r:id="rId20" minRId="241" maxRId="31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1B2AAA42-931D-4744-B09D-FD96C6A5E516}" dateTime="2016-08-09T14:47:51" maxSheetId="11" userName="Otto Sonia" r:id="rId21" minRId="314" maxRId="32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F146B891-00BA-4DA0-B4C0-B8FBBE9F906F}" dateTime="2016-08-09T14:55:20" maxSheetId="11" userName="Maciejczyk Ewa" r:id="rId22" minRId="324" maxRId="41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A7B22F68-1621-47D4-8B42-43137F5E7C9B}" dateTime="2016-08-09T14:59:53" maxSheetId="11" userName="Otto Sonia" r:id="rId23" minRId="41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1873F7F7-4961-4646-8C14-3BB8F6215D38}" dateTime="2016-08-09T15:17:54" maxSheetId="11" userName="Maciejczyk Ewa" r:id="rId24" minRId="415" maxRId="442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0857E708-1866-423D-AEDB-56CF9B6F9490}" dateTime="2016-08-09T15:20:58" maxSheetId="11" userName="Maciejczyk Ewa" r:id="rId25" minRId="443" maxRId="50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C4B05CB3-36B8-46A1-8C40-4BD801E82849}" dateTime="2016-08-09T15:21:33" maxSheetId="11" userName="Maciejczyk Ewa" r:id="rId26" minRId="505" maxRId="61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382198AF-FB51-4006-B493-A5718BFAC556}" dateTime="2016-08-09T15:22:19" maxSheetId="11" userName="Otto Sonia" r:id="rId27" minRId="614" maxRId="61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C2911BBA-7407-4272-8572-32098941D89C}" dateTime="2016-08-09T15:47:16" maxSheetId="11" userName="Maciejczyk Ewa" r:id="rId28" minRId="620" maxRId="76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3E7A22DA-340D-4409-99E7-FB36C2FD00F4}" dateTime="2016-08-09T15:48:20" maxSheetId="11" userName="Maciejczyk Ewa" r:id="rId29" minRId="769" maxRId="77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5C97F400-E323-419D-954F-30BFBD0A19C0}" dateTime="2016-08-09T15:48:50" maxSheetId="11" userName="Maciejczyk Ewa" r:id="rId30" minRId="772" maxRId="77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36564987-A3C3-4B2C-9100-EEE9CFC3EAFB}" dateTime="2016-08-09T15:53:15" maxSheetId="11" userName="Maciejczyk Ewa" r:id="rId31" minRId="776" maxRId="82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0380D49E-A0A8-4662-A4F6-8009BC8BA2DD}" dateTime="2016-08-10T09:00:13" maxSheetId="11" userName="Maciejczyk Ewa" r:id="rId32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FFF7059A-A6E7-4C46-9C08-723140247287}" dateTime="2016-08-10T10:46:37" maxSheetId="11" userName="Maciejczyk Ewa" r:id="rId33" minRId="827" maxRId="82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F0AB2C11-77CE-47D6-B42C-974A253CD5D7}" dateTime="2016-08-11T20:32:02" maxSheetId="11" userName="Wiechecka Irena" r:id="rId34" minRId="829" maxRId="83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3771F479-2C2D-416D-884D-769A9CBC37A9}" dateTime="2016-08-11T20:34:49" maxSheetId="11" userName="Wiechecka Irena" r:id="rId35" minRId="839" maxRId="84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EB69485F-6C6B-4AD8-8FAB-1EF9BCAADC5E}" dateTime="2016-08-11T20:40:05" maxSheetId="11" userName="Wiechecka Irena" r:id="rId36" minRId="845" maxRId="87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A9E5EB98-3EB3-4024-A646-97058B1B75E9}" dateTime="2016-08-11T20:42:49" maxSheetId="11" userName="Wiechecka Irena" r:id="rId37" minRId="876" maxRId="907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CC9C0030-E058-4B95-8EA5-64443AA87AF4}" dateTime="2016-08-11T20:46:27" maxSheetId="11" userName="Wiechecka Irena" r:id="rId38" minRId="908" maxRId="92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84E7099F-5805-477C-BAD9-F9A25BB16580}" dateTime="2016-08-11T20:48:38" maxSheetId="11" userName="Wiechecka Irena" r:id="rId3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4D41DB59-DD7C-48E6-9BB6-85799454AFE5}" dateTime="2016-08-11T20:50:11" maxSheetId="11" userName="Wiechecka Irena" r:id="rId40" minRId="930" maxRId="93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ADE7892B-B338-4C5A-B9D4-3C1B35085CF6}" dateTime="2016-08-11T20:51:47" maxSheetId="11" userName="Wiechecka Irena" r:id="rId41" minRId="936" maxRId="93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DCAA3AFB-B6DD-4D40-92D3-759905C303D9}" dateTime="2016-08-11T21:00:09" maxSheetId="11" userName="Wiechecka Irena" r:id="rId42" minRId="940" maxRId="97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A68F5231-97A6-4349-B344-86EEE2447900}" dateTime="2016-08-11T21:00:57" maxSheetId="11" userName="Wiechecka Irena" r:id="rId43" minRId="980" maxRId="103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9826F13-724F-43D7-8C92-79EC4EE98745}" dateTime="2016-08-11T21:04:31" maxSheetId="11" userName="Wiechecka Irena" r:id="rId44" minRId="1040" maxRId="104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5FAB7BAD-54E1-4082-AB0C-9F77F5024D3F}" dateTime="2016-08-11T21:09:27" maxSheetId="11" userName="Wiechecka Irena" r:id="rId45" minRId="1046" maxRId="106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1075C58C-1DF0-4CA8-AD4B-BB0F9FD8E239}" dateTime="2016-08-11T21:13:37" maxSheetId="11" userName="Wiechecka Irena" r:id="rId46" minRId="1066" maxRId="110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5D448B19-8611-4FB0-A4A6-C14388F63818}" dateTime="2016-08-11T21:20:29" maxSheetId="11" userName="Wiechecka Irena" r:id="rId47" minRId="1106" maxRId="112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DAAFB61A-967C-4828-8AB1-86879CFCAB36}" dateTime="2016-08-11T21:26:05" maxSheetId="11" userName="Wiechecka Irena" r:id="rId48" minRId="1122" maxRId="114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D7484B22-B8AC-403A-8F09-AB11C5A14FAE}" dateTime="2016-08-11T22:17:36" maxSheetId="11" userName="Wiechecka Irena" r:id="rId4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C0F1E31A-1F0C-4013-8E08-7AB04B673E0C}" dateTime="2016-08-16T14:48:12" maxSheetId="11" userName="Marcin Siwczyk" r:id="rId5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8B76F9BE-CE0E-452F-80EB-D3CDCDD251E4}" dateTime="2016-08-16T14:52:35" maxSheetId="11" userName="Marcin Siwczyk" r:id="rId51" minRId="1142" maxRId="1147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2C9B78FB-EA97-4B7A-B4EB-31966582E2AB}" dateTime="2016-08-16T14:55:16" maxSheetId="11" userName="Marcin Siwczyk" r:id="rId52" minRId="1148" maxRId="115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" sId="7" numFmtId="4">
    <oc r="C18">
      <v>-1806764</v>
    </oc>
    <nc r="C18">
      <f>SUM(C14:C17)</f>
    </nc>
  </rcc>
  <rcc rId="23" sId="7" numFmtId="4">
    <oc r="D18">
      <v>-1879994</v>
    </oc>
    <nc r="D18">
      <f>SUM(D14:D17)</f>
    </nc>
  </rcc>
  <rcc rId="24" sId="7" numFmtId="4">
    <oc r="C18">
      <f>SUM(C14:C17)</f>
    </oc>
    <nc r="C18">
      <v>-1937841</v>
    </nc>
  </rcc>
  <rcc rId="25" sId="7" numFmtId="4">
    <oc r="D18">
      <f>SUM(D14:D17)</f>
    </oc>
    <nc r="D18">
      <v>-1879994</v>
    </nc>
  </rcc>
  <rcc rId="26" sId="7" numFmtId="4">
    <oc r="C24">
      <v>-1773295</v>
    </oc>
    <nc r="C24">
      <f>C18+C23</f>
    </nc>
  </rcc>
  <rcc rId="27" sId="7" numFmtId="4">
    <oc r="D24">
      <v>-1813261</v>
    </oc>
    <nc r="D24">
      <f>D18+D23</f>
    </nc>
  </rcc>
  <rcc rId="28" sId="7" numFmtId="4">
    <oc r="C24">
      <f>C18+C23</f>
    </oc>
    <nc r="C24">
      <v>-1904372</v>
    </nc>
  </rcc>
  <rcc rId="29" sId="7" numFmtId="4">
    <oc r="D24">
      <f>D18+D23</f>
    </oc>
    <nc r="D24">
      <v>-1813261</v>
    </nc>
  </rcc>
  <rcc rId="30" sId="7" numFmtId="4">
    <oc r="C30">
      <v>-2560635</v>
    </oc>
    <nc r="C30">
      <f>SUM(C26:C29)</f>
    </nc>
  </rcc>
  <rcc rId="31" sId="7" numFmtId="4">
    <oc r="C30">
      <f>SUM(C26:C29)</f>
    </oc>
    <nc r="C30">
      <v>-2429558</v>
    </nc>
  </rcc>
  <rcc rId="32" sId="7" numFmtId="4">
    <oc r="C35">
      <v>322382</v>
    </oc>
    <nc r="C35">
      <f>C30+C34</f>
    </nc>
  </rcc>
  <rcc rId="33" sId="7" numFmtId="4">
    <oc r="C35">
      <f>C30+C34</f>
    </oc>
    <nc r="C35">
      <v>453459</v>
    </nc>
  </rcc>
  <rcc rId="34" sId="7">
    <nc r="B15" t="inlineStr">
      <is>
        <t>40.2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" sId="8">
    <oc r="AC44">
      <f>AA44</f>
    </oc>
    <nc r="AC44">
      <f>AA44-Bilans!C7-Bilans!C8</f>
    </nc>
  </rcc>
  <rfmt sheetId="8" sqref="AC44">
    <dxf>
      <fill>
        <patternFill>
          <bgColor theme="0"/>
        </patternFill>
      </fill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" sId="8">
    <oc r="AC46">
      <f>AA46</f>
    </oc>
    <nc r="AC46">
      <f>AA46-Bilans!C10-Bilans!C11</f>
    </nc>
  </rcc>
  <rfmt sheetId="8" sqref="AC46">
    <dxf>
      <fill>
        <patternFill>
          <bgColor theme="0"/>
        </patternFill>
      </fill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" sId="8" numFmtId="4">
    <oc r="AA5">
      <v>8942857</v>
    </oc>
    <nc r="AA5">
      <f>8942857-Z5</f>
    </nc>
  </rcc>
  <rcc rId="38" sId="8" numFmtId="4">
    <oc r="AA6">
      <v>-8286129</v>
    </oc>
    <nc r="AA6">
      <f>-8286129-Z6</f>
    </nc>
  </rcc>
  <rcc rId="39" sId="8" numFmtId="4">
    <oc r="AA7">
      <v>656728</v>
    </oc>
    <nc r="AA7">
      <f>656728-Z7</f>
    </nc>
  </rcc>
  <rcc rId="40" sId="8" numFmtId="4">
    <oc r="AA8">
      <v>59053</v>
    </oc>
    <nc r="AA8">
      <f>59053-Z8</f>
    </nc>
  </rcc>
  <rcc rId="41" sId="8" numFmtId="4">
    <oc r="AA9">
      <v>-220397</v>
    </oc>
    <nc r="AA9">
      <f>-220397-Z9</f>
    </nc>
  </rcc>
  <rcc rId="42" sId="8" numFmtId="4">
    <oc r="AA10">
      <v>-317979</v>
    </oc>
    <nc r="AA10">
      <f>-317979-Z10</f>
    </nc>
  </rcc>
  <rcc rId="43" sId="8" numFmtId="4">
    <oc r="AA11">
      <v>-43760</v>
    </oc>
    <nc r="AA11">
      <f>-43760-Z11</f>
    </nc>
  </rcc>
  <rcc rId="44" sId="8" numFmtId="4">
    <oc r="AA12">
      <v>133645</v>
    </oc>
    <nc r="AA12">
      <f>133645-Z12</f>
    </nc>
  </rcc>
  <rcc rId="45" sId="8" numFmtId="4">
    <oc r="AA13">
      <v>55939</v>
    </oc>
    <nc r="AA13">
      <f>55939-Z13</f>
    </nc>
  </rcc>
  <rcc rId="46" sId="8" numFmtId="4">
    <oc r="AA14">
      <v>-216770</v>
    </oc>
    <nc r="AA14">
      <f>-216770-Z14</f>
    </nc>
  </rcc>
  <rcc rId="47" sId="8" numFmtId="4">
    <oc r="AA15">
      <v>59861</v>
    </oc>
    <nc r="AA15">
      <f>59861-Z15</f>
    </nc>
  </rcc>
  <rcc rId="48" sId="8" numFmtId="4">
    <oc r="AA16">
      <v>32675</v>
    </oc>
    <nc r="AA16">
      <f>32675-Z16</f>
    </nc>
  </rcc>
  <rcc rId="49" sId="8" numFmtId="4">
    <oc r="AA17">
      <v>-27958</v>
    </oc>
    <nc r="AA17">
      <f>-27958-Z17</f>
    </nc>
  </rcc>
  <rcc rId="50" sId="8" numFmtId="4">
    <oc r="AA18">
      <v>4717</v>
    </oc>
    <nc r="AA18">
      <f>4717-Z18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" sId="8">
    <oc r="AA42">
      <v>25066173</v>
    </oc>
    <nc r="AA42">
      <f>25066173</f>
    </nc>
  </rcc>
  <rcc rId="52" sId="8">
    <oc r="AA43">
      <v>40156</v>
    </oc>
    <nc r="AA43">
      <f>40156</f>
    </nc>
  </rcc>
  <rcc rId="53" sId="8">
    <oc r="AA44">
      <v>1292124</v>
    </oc>
    <nc r="AA44">
      <f>1292124</f>
    </nc>
  </rcc>
  <rcc rId="54" sId="8">
    <oc r="AA45">
      <v>462202</v>
    </oc>
    <nc r="AA45">
      <f>462202</f>
    </nc>
  </rcc>
  <rcc rId="55" sId="8">
    <oc r="AA46">
      <v>463419</v>
    </oc>
    <nc r="AA46">
      <f>463419</f>
    </nc>
  </rcc>
  <rcc rId="56" sId="8">
    <oc r="AA47">
      <v>514318</v>
    </oc>
    <nc r="AA47">
      <f>514318</f>
    </nc>
  </rcc>
  <rcc rId="57" sId="8">
    <oc r="AA48">
      <v>65730</v>
    </oc>
    <nc r="AA48">
      <f>65730</f>
    </nc>
  </rcc>
  <rcc rId="58" sId="8">
    <oc r="AA49">
      <v>27904122</v>
    </oc>
    <nc r="AA49">
      <f>27904122</f>
    </nc>
  </rcc>
  <rcc rId="59" sId="8">
    <oc r="AA51">
      <v>648516</v>
    </oc>
    <nc r="AA51">
      <f>648516</f>
    </nc>
  </rcc>
  <rcc rId="60" sId="8">
    <oc r="AA52">
      <v>404983</v>
    </oc>
    <nc r="AA52">
      <f>404983</f>
    </nc>
  </rcc>
  <rcc rId="61" sId="8">
    <oc r="AA53">
      <v>27726</v>
    </oc>
    <nc r="AA53">
      <f>27726</f>
    </nc>
  </rcc>
  <rcc rId="62" sId="8">
    <oc r="AA54">
      <v>1864857</v>
    </oc>
    <nc r="AA54">
      <f>1864857</f>
    </nc>
  </rcc>
  <rcc rId="63" sId="8">
    <oc r="AA55">
      <v>83558</v>
    </oc>
    <nc r="AA55">
      <f>83558</f>
    </nc>
  </rcc>
  <rcc rId="64" sId="8">
    <oc r="AA56">
      <v>292654</v>
    </oc>
    <nc r="AA56">
      <f>292654</f>
    </nc>
  </rcc>
  <rcc rId="65" sId="8">
    <oc r="AA57">
      <v>422123</v>
    </oc>
    <nc r="AA57">
      <f>422123</f>
    </nc>
  </rcc>
  <rcc rId="66" sId="8">
    <oc r="AA58">
      <v>13283</v>
    </oc>
    <nc r="AA58">
      <f>13283</f>
    </nc>
  </rcc>
  <rcc rId="67" sId="8">
    <oc r="AA59">
      <v>3757700</v>
    </oc>
    <nc r="AA59">
      <f>3757700</f>
    </nc>
  </rcc>
  <rfmt sheetId="8" sqref="AD56" start="0" length="0">
    <dxf>
      <numFmt numFmtId="164" formatCode="#,##0_);[Red]\(#,##0\)"/>
    </dxf>
  </rfmt>
  <rcc rId="68" sId="8">
    <oc r="AC56">
      <f>AA56</f>
    </oc>
    <nc r="AC56">
      <f>AA53+AA54+AA55+AA56-Bilans!C18-Bilans!C19-Bilans!C20-Bilans!C21</f>
    </nc>
  </rcc>
  <rcc rId="69" sId="8">
    <oc r="AC53">
      <f>AA53</f>
    </oc>
    <nc r="AC53"/>
  </rcc>
  <rcc rId="70" sId="8">
    <oc r="AC54">
      <f>AA54</f>
    </oc>
    <nc r="AC54"/>
  </rcc>
  <rcc rId="71" sId="8">
    <oc r="AC55">
      <f>AA55</f>
    </oc>
    <nc r="AC55"/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P5" start="0" length="0">
    <dxf>
      <numFmt numFmtId="164" formatCode="#,##0_);[Red]\(#,##0\)"/>
    </dxf>
  </rfmt>
  <rfmt sheetId="9" sqref="P6" start="0" length="0">
    <dxf>
      <numFmt numFmtId="164" formatCode="#,##0_);[Red]\(#,##0\)"/>
    </dxf>
  </rfmt>
  <rfmt sheetId="9" sqref="P7" start="0" length="0">
    <dxf>
      <numFmt numFmtId="164" formatCode="#,##0_);[Red]\(#,##0\)"/>
    </dxf>
  </rfmt>
  <rfmt sheetId="9" sqref="P8" start="0" length="0">
    <dxf>
      <numFmt numFmtId="164" formatCode="#,##0_);[Red]\(#,##0\)"/>
    </dxf>
  </rfmt>
  <rfmt sheetId="9" sqref="P9" start="0" length="0">
    <dxf>
      <numFmt numFmtId="164" formatCode="#,##0_);[Red]\(#,##0\)"/>
    </dxf>
  </rfmt>
  <rfmt sheetId="9" sqref="P10" start="0" length="0">
    <dxf>
      <numFmt numFmtId="164" formatCode="#,##0_);[Red]\(#,##0\)"/>
    </dxf>
  </rfmt>
  <rfmt sheetId="9" sqref="P11" start="0" length="0">
    <dxf>
      <numFmt numFmtId="164" formatCode="#,##0_);[Red]\(#,##0\)"/>
    </dxf>
  </rfmt>
  <rfmt sheetId="9" sqref="P12" start="0" length="0">
    <dxf>
      <numFmt numFmtId="164" formatCode="#,##0_);[Red]\(#,##0\)"/>
    </dxf>
  </rfmt>
  <rfmt sheetId="9" sqref="P13" start="0" length="0">
    <dxf>
      <numFmt numFmtId="164" formatCode="#,##0_);[Red]\(#,##0\)"/>
    </dxf>
  </rfmt>
  <rfmt sheetId="9" sqref="P14" start="0" length="0">
    <dxf>
      <numFmt numFmtId="164" formatCode="#,##0_);[Red]\(#,##0\)"/>
    </dxf>
  </rfmt>
  <rfmt sheetId="9" sqref="P15" start="0" length="0">
    <dxf>
      <numFmt numFmtId="164" formatCode="#,##0_);[Red]\(#,##0\)"/>
    </dxf>
  </rfmt>
  <rfmt sheetId="9" sqref="P16" start="0" length="0">
    <dxf>
      <numFmt numFmtId="164" formatCode="#,##0_);[Red]\(#,##0\)"/>
    </dxf>
  </rfmt>
  <rfmt sheetId="9" sqref="P17" start="0" length="0">
    <dxf>
      <numFmt numFmtId="164" formatCode="#,##0_);[Red]\(#,##0\)"/>
    </dxf>
  </rfmt>
  <rfmt sheetId="9" sqref="P18" start="0" length="0">
    <dxf>
      <numFmt numFmtId="164" formatCode="#,##0_);[Red]\(#,##0\)"/>
    </dxf>
  </rfmt>
  <rcc rId="72" sId="9">
    <nc r="P5">
      <f>N5-'Rach. zysków i strat'!C4</f>
    </nc>
  </rcc>
  <rcc rId="73" sId="9" numFmtId="34">
    <oc r="N5">
      <v>13589892</v>
    </oc>
    <nc r="N5">
      <v>8942857</v>
    </nc>
  </rcc>
  <rcc rId="74" sId="9" numFmtId="34">
    <oc r="N6">
      <v>-12209188</v>
    </oc>
    <nc r="N6">
      <v>-8286129</v>
    </nc>
  </rcc>
  <rcc rId="75" sId="9" numFmtId="34">
    <oc r="N7">
      <v>1380704</v>
    </oc>
    <nc r="N7">
      <v>656728</v>
    </nc>
  </rcc>
  <rcc rId="76" sId="9">
    <nc r="P6">
      <f>N6-'Rach. zysków i strat'!C5</f>
    </nc>
  </rcc>
  <rcc rId="77" sId="9">
    <nc r="P7">
      <f>N7-'Rach. zysków i strat'!C6</f>
    </nc>
  </rcc>
  <rcc rId="78" sId="9">
    <nc r="P8">
      <f>N8+N11-'Rach. zysków i strat'!C9</f>
    </nc>
  </rcc>
  <rcc rId="79" sId="9">
    <nc r="P9">
      <f>N9-'Rach. zysków i strat'!C7</f>
    </nc>
  </rcc>
  <rcc rId="80" sId="9">
    <nc r="P10">
      <f>N10-'Rach. zysków i strat'!C8</f>
    </nc>
  </rcc>
  <rcc rId="81" sId="9">
    <nc r="P11">
      <f>N8+N11-'Rach. zysków i strat'!C9</f>
    </nc>
  </rcc>
  <rcc rId="82" sId="9">
    <nc r="P12">
      <f>N12-'Rach. zysków i strat'!C10</f>
    </nc>
  </rcc>
  <rcc rId="83" sId="9">
    <nc r="P13">
      <f>N13-'Rach. zysków i strat'!C12</f>
    </nc>
  </rcc>
  <rcc rId="84" sId="9">
    <nc r="P14">
      <f>N14-'Rach. zysków i strat'!C13-'Rach. zysków i strat'!C14</f>
    </nc>
  </rcc>
  <rcc rId="85" sId="9">
    <nc r="P15">
      <f>N15-'Rach. zysków i strat'!C11</f>
    </nc>
  </rcc>
  <rcc rId="86" sId="9">
    <nc r="P16">
      <f>N16-'Rach. zysków i strat'!C15</f>
    </nc>
  </rcc>
  <rcc rId="87" sId="9">
    <nc r="P17">
      <f>N17-'Rach. zysków i strat'!C16</f>
    </nc>
  </rcc>
  <rcc rId="88" sId="9">
    <nc r="P18">
      <f>N18-'Rach. zysków i strat'!C17</f>
    </nc>
  </rcc>
  <rcc rId="89" sId="9" numFmtId="34">
    <oc r="N8">
      <v>91828</v>
    </oc>
    <nc r="N8">
      <v>59053</v>
    </nc>
  </rcc>
  <rcc rId="90" sId="9" numFmtId="34">
    <oc r="N11">
      <v>-66829</v>
    </oc>
    <nc r="N11">
      <v>-43760</v>
    </nc>
  </rcc>
  <rcc rId="91" sId="9" numFmtId="34">
    <oc r="N9">
      <v>-330454</v>
    </oc>
    <nc r="N9">
      <v>-220397</v>
    </nc>
  </rcc>
  <rcc rId="92" sId="9" numFmtId="34">
    <oc r="N10">
      <v>-485622</v>
    </oc>
    <nc r="N10">
      <v>-317979</v>
    </nc>
  </rcc>
  <rcc rId="93" sId="9" numFmtId="34">
    <oc r="N12">
      <v>589627</v>
    </oc>
    <nc r="N12">
      <v>133645</v>
    </nc>
  </rcc>
  <rcc rId="94" sId="9" numFmtId="34">
    <oc r="N13">
      <v>85132</v>
    </oc>
    <nc r="N13">
      <v>55939</v>
    </nc>
  </rcc>
  <rcc rId="95" sId="9" numFmtId="34">
    <oc r="N15">
      <v>82896</v>
    </oc>
    <nc r="N15">
      <v>59861</v>
    </nc>
  </rcc>
  <rcc rId="96" sId="9" numFmtId="34">
    <oc r="N16">
      <v>444270</v>
    </oc>
    <nc r="N16">
      <v>32675</v>
    </nc>
  </rcc>
  <rcc rId="97" sId="9" numFmtId="34">
    <oc r="N17">
      <v>-115747</v>
    </oc>
    <nc r="N17">
      <v>-27958</v>
    </nc>
  </rcc>
  <rcc rId="98" sId="9" numFmtId="34">
    <oc r="N18">
      <v>328523</v>
    </oc>
    <nc r="N18">
      <v>4717</v>
    </nc>
  </rcc>
  <rcc rId="99" sId="9" numFmtId="34">
    <oc r="N14">
      <v>-313385</v>
    </oc>
    <nc r="N14">
      <v>-216770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" sId="9" odxf="1" dxf="1">
    <nc r="P22">
      <f>N22-'Rach. zysków i strat'!C19</f>
    </nc>
    <ndxf>
      <numFmt numFmtId="171" formatCode="_-* #,##0&quot;   &quot;;[Red]\(#,##0\)&quot;  &quot;;&quot;-   &quot;"/>
    </ndxf>
  </rcc>
  <rcc rId="101" sId="9" odxf="1" dxf="1">
    <nc r="P23">
      <f>N23-'Rach. zysków i strat'!C24-'Rach. zysków i strat'!C26</f>
    </nc>
    <ndxf>
      <numFmt numFmtId="171" formatCode="_-* #,##0&quot;   &quot;;[Red]\(#,##0\)&quot;  &quot;;&quot;-   &quot;"/>
    </ndxf>
  </rcc>
  <rcc rId="102" sId="9" odxf="1" dxf="1">
    <nc r="P24">
      <f>N24-'Rach. zysków i strat'!C20</f>
    </nc>
    <ndxf>
      <numFmt numFmtId="171" formatCode="_-* #,##0&quot;   &quot;;[Red]\(#,##0\)&quot;  &quot;;&quot;-   &quot;"/>
    </ndxf>
  </rcc>
  <rcc rId="103" sId="9" odxf="1" dxf="1">
    <nc r="P25">
      <f>N25-'Rach. zysków i strat'!C21-'Rach. zysków i strat'!C25</f>
    </nc>
    <ndxf>
      <numFmt numFmtId="171" formatCode="_-* #,##0&quot;   &quot;;[Red]\(#,##0\)&quot;  &quot;;&quot;-   &quot;"/>
    </ndxf>
  </rcc>
  <rcc rId="104" sId="9" odxf="1" dxf="1">
    <nc r="P26">
      <f>N26-'Rach. zysków i strat'!C29</f>
    </nc>
    <ndxf>
      <numFmt numFmtId="171" formatCode="_-* #,##0&quot;   &quot;;[Red]\(#,##0\)&quot;  &quot;;&quot;-   &quot;"/>
    </ndxf>
  </rcc>
  <rcc rId="105" sId="9" odxf="1" dxf="1">
    <nc r="P27">
      <f>N27-'Rach. zysków i strat'!C30</f>
    </nc>
    <ndxf>
      <numFmt numFmtId="171" formatCode="_-* #,##0&quot;   &quot;;[Red]\(#,##0\)&quot;  &quot;;&quot;-   &quot;"/>
    </ndxf>
  </rcc>
  <rcc rId="106" sId="9" odxf="1" dxf="1">
    <nc r="P29">
      <f>N29-'Rach. zysków i strat'!C33</f>
    </nc>
    <ndxf>
      <numFmt numFmtId="171" formatCode="_-* #,##0&quot;   &quot;;[Red]\(#,##0\)&quot;  &quot;;&quot;-   &quot;"/>
    </ndxf>
  </rcc>
  <rcc rId="107" sId="9" odxf="1" dxf="1">
    <nc r="P30">
      <f>N30-'Rach. zysków i strat'!C34</f>
    </nc>
    <ndxf>
      <numFmt numFmtId="171" formatCode="_-* #,##0&quot;   &quot;;[Red]\(#,##0\)&quot;  &quot;;&quot;-   &quot;"/>
    </ndxf>
  </rcc>
  <rcc rId="108" sId="9" odxf="1" dxf="1">
    <nc r="P32">
      <f>N32-'Rach. zysków i strat'!C36</f>
    </nc>
    <ndxf>
      <numFmt numFmtId="171" formatCode="_-* #,##0&quot;   &quot;;[Red]\(#,##0\)&quot;  &quot;;&quot;-   &quot;"/>
    </ndxf>
  </rcc>
  <rcc rId="109" sId="9" odxf="1" dxf="1">
    <nc r="P33">
      <f>N33-'Rach. zysków i strat'!C37</f>
    </nc>
    <ndxf>
      <numFmt numFmtId="171" formatCode="_-* #,##0&quot;   &quot;;[Red]\(#,##0\)&quot;  &quot;;&quot;-   &quot;"/>
    </ndxf>
  </rcc>
  <rcc rId="110" sId="9" odxf="1" dxf="1">
    <nc r="P36">
      <f>N36-'Rach. zysków i strat'!C39</f>
    </nc>
    <ndxf>
      <numFmt numFmtId="35" formatCode="_-* #,##0.00\ _z_ł_-;\-* #,##0.00\ _z_ł_-;_-* &quot;-&quot;??\ _z_ł_-;_-@_-"/>
    </ndxf>
  </rcc>
  <rcc rId="111" sId="9" numFmtId="34">
    <oc r="N36">
      <f>'Hist. dane kwartalne'!Z36+'Hist. dane kwartalne'!AA36</f>
    </oc>
    <nc r="N36">
      <v>0</v>
    </nc>
  </rcc>
  <rcc rId="112" sId="9" numFmtId="34">
    <oc r="N32">
      <f>'Hist. dane kwartalne'!Z32+'Hist. dane kwartalne'!AA32</f>
    </oc>
    <nc r="N32">
      <v>51804</v>
    </nc>
  </rcc>
  <rcc rId="113" sId="9" numFmtId="34">
    <oc r="N33">
      <f>'Hist. dane kwartalne'!Z33+'Hist. dane kwartalne'!AA33</f>
    </oc>
    <nc r="N33">
      <v>1282</v>
    </nc>
  </rcc>
  <rcc rId="114" sId="9" numFmtId="34">
    <oc r="N29">
      <f>'Hist. dane kwartalne'!Z29+'Hist. dane kwartalne'!AA29</f>
    </oc>
    <nc r="N29">
      <v>3435</v>
    </nc>
  </rcc>
  <rcc rId="115" sId="9" numFmtId="34">
    <oc r="N30">
      <f>'Hist. dane kwartalne'!Z30+'Hist. dane kwartalne'!AA30</f>
    </oc>
    <nc r="N30">
      <v>1282</v>
    </nc>
  </rcc>
  <rcc rId="116" sId="9" numFmtId="34">
    <oc r="N27">
      <f>'Hist. dane kwartalne'!Z27+'Hist. dane kwartalne'!AA27</f>
    </oc>
    <nc r="N27">
      <v>53086</v>
    </nc>
  </rcc>
  <rcc rId="117" sId="9" numFmtId="34">
    <oc r="N26">
      <f>'Hist. dane kwartalne'!Z26+'Hist. dane kwartalne'!AA26</f>
    </oc>
    <nc r="N26">
      <v>48369</v>
    </nc>
  </rcc>
  <rcc rId="118" sId="9" numFmtId="34">
    <oc r="N22">
      <f>'Hist. dane kwartalne'!Z22+'Hist. dane kwartalne'!AA22</f>
    </oc>
    <nc r="N22">
      <v>48846</v>
    </nc>
  </rcc>
  <rcc rId="119" sId="9" numFmtId="34">
    <oc r="N25">
      <f>'Hist. dane kwartalne'!Z25+'Hist. dane kwartalne'!AA25</f>
    </oc>
    <nc r="N25">
      <v>-9011</v>
    </nc>
  </rcc>
  <rcc rId="120" sId="9" numFmtId="34">
    <oc r="N23">
      <f>'Hist. dane kwartalne'!Z23+'Hist. dane kwartalne'!AA23</f>
    </oc>
    <nc r="N23">
      <v>-1388</v>
    </nc>
  </rcc>
  <rcc rId="121" sId="9" numFmtId="34">
    <oc r="N24">
      <f>'Hist. dane kwartalne'!Z24+'Hist. dane kwartalne'!AA24</f>
    </oc>
    <nc r="N24">
      <v>9922</v>
    </nc>
  </rcc>
  <rcc rId="122" sId="9" odxf="1" dxf="1">
    <oc r="P7">
      <f>N7-'Rach. zysków i strat'!C6</f>
    </oc>
    <nc r="P7">
      <f>N7-'Rach. zysków i strat'!C6</f>
    </nc>
    <odxf>
      <numFmt numFmtId="164" formatCode="#,##0_);[Red]\(#,##0\)"/>
    </odxf>
    <ndxf>
      <numFmt numFmtId="171" formatCode="_-* #,##0&quot;   &quot;;[Red]\(#,##0\)&quot;  &quot;;&quot;-   &quot;"/>
    </ndxf>
  </rcc>
  <rcc rId="123" sId="9" odxf="1" dxf="1">
    <oc r="P8">
      <f>N8+N11-'Rach. zysków i strat'!C9</f>
    </oc>
    <nc r="P8">
      <f>N8+N11-'Rach. zysków i strat'!C9</f>
    </nc>
    <odxf>
      <numFmt numFmtId="164" formatCode="#,##0_);[Red]\(#,##0\)"/>
    </odxf>
    <ndxf>
      <numFmt numFmtId="171" formatCode="_-* #,##0&quot;   &quot;;[Red]\(#,##0\)&quot;  &quot;;&quot;-   &quot;"/>
    </ndxf>
  </rcc>
  <rcc rId="124" sId="9" odxf="1" dxf="1">
    <oc r="P9">
      <f>N9-'Rach. zysków i strat'!C7</f>
    </oc>
    <nc r="P9">
      <f>N9-'Rach. zysków i strat'!C7</f>
    </nc>
    <odxf>
      <numFmt numFmtId="164" formatCode="#,##0_);[Red]\(#,##0\)"/>
    </odxf>
    <ndxf>
      <numFmt numFmtId="171" formatCode="_-* #,##0&quot;   &quot;;[Red]\(#,##0\)&quot;  &quot;;&quot;-   &quot;"/>
    </ndxf>
  </rcc>
  <rcc rId="125" sId="9" odxf="1" dxf="1">
    <oc r="P10">
      <f>N10-'Rach. zysków i strat'!C8</f>
    </oc>
    <nc r="P10">
      <f>N10-'Rach. zysków i strat'!C8</f>
    </nc>
    <odxf>
      <numFmt numFmtId="164" formatCode="#,##0_);[Red]\(#,##0\)"/>
    </odxf>
    <ndxf>
      <numFmt numFmtId="171" formatCode="_-* #,##0&quot;   &quot;;[Red]\(#,##0\)&quot;  &quot;;&quot;-   &quot;"/>
    </ndxf>
  </rcc>
  <rcc rId="126" sId="9" odxf="1" dxf="1">
    <oc r="P11">
      <f>N8+N11-'Rach. zysków i strat'!C9</f>
    </oc>
    <nc r="P11">
      <f>N8+N11-'Rach. zysków i strat'!C9</f>
    </nc>
    <odxf>
      <numFmt numFmtId="164" formatCode="#,##0_);[Red]\(#,##0\)"/>
    </odxf>
    <ndxf>
      <numFmt numFmtId="171" formatCode="_-* #,##0&quot;   &quot;;[Red]\(#,##0\)&quot;  &quot;;&quot;-   &quot;"/>
    </ndxf>
  </rcc>
  <rcc rId="127" sId="9" odxf="1" dxf="1">
    <oc r="P12">
      <f>N12-'Rach. zysków i strat'!C10</f>
    </oc>
    <nc r="P12">
      <f>N12-'Rach. zysków i strat'!C10</f>
    </nc>
    <odxf>
      <numFmt numFmtId="164" formatCode="#,##0_);[Red]\(#,##0\)"/>
    </odxf>
    <ndxf>
      <numFmt numFmtId="171" formatCode="_-* #,##0&quot;   &quot;;[Red]\(#,##0\)&quot;  &quot;;&quot;-   &quot;"/>
    </ndxf>
  </rcc>
  <rcc rId="128" sId="9" odxf="1" dxf="1">
    <oc r="P13">
      <f>N13-'Rach. zysków i strat'!C12</f>
    </oc>
    <nc r="P13">
      <f>N13-'Rach. zysków i strat'!C12</f>
    </nc>
    <odxf>
      <numFmt numFmtId="164" formatCode="#,##0_);[Red]\(#,##0\)"/>
    </odxf>
    <ndxf>
      <numFmt numFmtId="171" formatCode="_-* #,##0&quot;   &quot;;[Red]\(#,##0\)&quot;  &quot;;&quot;-   &quot;"/>
    </ndxf>
  </rcc>
  <rcc rId="129" sId="9" odxf="1" dxf="1">
    <oc r="P14">
      <f>N14-'Rach. zysków i strat'!C13-'Rach. zysków i strat'!C14</f>
    </oc>
    <nc r="P14">
      <f>N14-'Rach. zysków i strat'!C13-'Rach. zysków i strat'!C14</f>
    </nc>
    <odxf>
      <numFmt numFmtId="164" formatCode="#,##0_);[Red]\(#,##0\)"/>
    </odxf>
    <ndxf>
      <numFmt numFmtId="171" formatCode="_-* #,##0&quot;   &quot;;[Red]\(#,##0\)&quot;  &quot;;&quot;-   &quot;"/>
    </ndxf>
  </rcc>
  <rcc rId="130" sId="9" odxf="1" dxf="1">
    <oc r="P15">
      <f>N15-'Rach. zysków i strat'!C11</f>
    </oc>
    <nc r="P15">
      <f>N15-'Rach. zysków i strat'!C11</f>
    </nc>
    <odxf>
      <numFmt numFmtId="164" formatCode="#,##0_);[Red]\(#,##0\)"/>
    </odxf>
    <ndxf>
      <numFmt numFmtId="171" formatCode="_-* #,##0&quot;   &quot;;[Red]\(#,##0\)&quot;  &quot;;&quot;-   &quot;"/>
    </ndxf>
  </rcc>
  <rcc rId="131" sId="9" odxf="1" dxf="1">
    <oc r="P16">
      <f>N16-'Rach. zysków i strat'!C15</f>
    </oc>
    <nc r="P16">
      <f>N16-'Rach. zysków i strat'!C15</f>
    </nc>
    <odxf>
      <numFmt numFmtId="164" formatCode="#,##0_);[Red]\(#,##0\)"/>
    </odxf>
    <ndxf>
      <numFmt numFmtId="171" formatCode="_-* #,##0&quot;   &quot;;[Red]\(#,##0\)&quot;  &quot;;&quot;-   &quot;"/>
    </ndxf>
  </rcc>
  <rcc rId="132" sId="9" odxf="1" dxf="1">
    <oc r="P17">
      <f>N17-'Rach. zysków i strat'!C16</f>
    </oc>
    <nc r="P17">
      <f>N17-'Rach. zysków i strat'!C16</f>
    </nc>
    <odxf>
      <numFmt numFmtId="164" formatCode="#,##0_);[Red]\(#,##0\)"/>
    </odxf>
    <ndxf>
      <numFmt numFmtId="171" formatCode="_-* #,##0&quot;   &quot;;[Red]\(#,##0\)&quot;  &quot;;&quot;-   &quot;"/>
    </ndxf>
  </rcc>
  <rcc rId="133" sId="9" odxf="1" dxf="1">
    <oc r="P18">
      <f>N18-'Rach. zysków i strat'!C17</f>
    </oc>
    <nc r="P18">
      <f>N18-'Rach. zysków i strat'!C17</f>
    </nc>
    <odxf>
      <numFmt numFmtId="164" formatCode="#,##0_);[Red]\(#,##0\)"/>
    </odxf>
    <ndxf>
      <numFmt numFmtId="171" formatCode="_-* #,##0&quot;   &quot;;[Red]\(#,##0\)&quot;  &quot;;&quot;-   &quot;"/>
    </ndxf>
  </rcc>
  <rcc rId="134" sId="9" odxf="1" dxf="1">
    <oc r="P5">
      <f>N5-'Rach. zysków i strat'!C4</f>
    </oc>
    <nc r="P5">
      <f>N5-'Rach. zysków i strat'!C4</f>
    </nc>
    <odxf>
      <numFmt numFmtId="164" formatCode="#,##0_);[Red]\(#,##0\)"/>
    </odxf>
    <ndxf>
      <numFmt numFmtId="171" formatCode="_-* #,##0&quot;   &quot;;[Red]\(#,##0\)&quot;  &quot;;&quot;-   &quot;"/>
    </ndxf>
  </rcc>
  <rcc rId="135" sId="9" odxf="1" dxf="1">
    <oc r="P6">
      <f>N6-'Rach. zysków i strat'!C5</f>
    </oc>
    <nc r="P6">
      <f>N6-'Rach. zysków i strat'!C5</f>
    </nc>
    <odxf>
      <numFmt numFmtId="164" formatCode="#,##0_);[Red]\(#,##0\)"/>
    </odxf>
    <ndxf>
      <numFmt numFmtId="171" formatCode="_-* #,##0&quot;   &quot;;[Red]\(#,##0\)&quot;  &quot;;&quot;-   &quot;"/>
    </ndxf>
  </rcc>
  <rcc rId="136" sId="8">
    <oc r="AC5">
      <f>AA5-'Rach. zysków i strat'!C4</f>
    </oc>
    <nc r="AC5"/>
  </rcc>
  <rcc rId="137" sId="8">
    <oc r="AC6">
      <f>AA6-'Rach. zysków i strat'!C5</f>
    </oc>
    <nc r="AC6"/>
  </rcc>
  <rcc rId="138" sId="8">
    <oc r="AC7">
      <f>AA7-'Rach. zysków i strat'!C6</f>
    </oc>
    <nc r="AC7"/>
  </rcc>
  <rcc rId="139" sId="8">
    <oc r="AC8">
      <f>AA8+AA11-'Rach. zysków i strat'!C9</f>
    </oc>
    <nc r="AC8"/>
  </rcc>
  <rcc rId="140" sId="8">
    <oc r="AC9">
      <f>AA9-'Rach. zysków i strat'!C7</f>
    </oc>
    <nc r="AC9"/>
  </rcc>
  <rcc rId="141" sId="8">
    <oc r="AC10">
      <f>AA10-'Rach. zysków i strat'!C8</f>
    </oc>
    <nc r="AC10"/>
  </rcc>
  <rcc rId="142" sId="8">
    <oc r="AC11">
      <f>AA8+AA11-'Rach. zysków i strat'!C9</f>
    </oc>
    <nc r="AC11"/>
  </rcc>
  <rcc rId="143" sId="8">
    <oc r="AC12">
      <f>AA12-'Rach. zysków i strat'!C10</f>
    </oc>
    <nc r="AC12"/>
  </rcc>
  <rcc rId="144" sId="8">
    <oc r="AC13">
      <f>AA13-'Rach. zysków i strat'!C12</f>
    </oc>
    <nc r="AC13"/>
  </rcc>
  <rcc rId="145" sId="8">
    <oc r="AC14">
      <f>AA14-'Rach. zysków i strat'!C13-'Rach. zysków i strat'!C14</f>
    </oc>
    <nc r="AC14"/>
  </rcc>
  <rcc rId="146" sId="8">
    <oc r="AC15">
      <f>AA15-'Rach. zysków i strat'!C11</f>
    </oc>
    <nc r="AC15"/>
  </rcc>
  <rcc rId="147" sId="8">
    <oc r="AC16">
      <f>AA16-'Rach. zysków i strat'!C15</f>
    </oc>
    <nc r="AC16"/>
  </rcc>
  <rcc rId="148" sId="8">
    <oc r="AC17">
      <f>AA17-'Rach. zysków i strat'!C16</f>
    </oc>
    <nc r="AC17"/>
  </rcc>
  <rcc rId="149" sId="8">
    <oc r="AC18">
      <f>AA18-'Rach. zysków i strat'!C17</f>
    </oc>
    <nc r="AC18"/>
  </rcc>
  <rfmt sheetId="9" sqref="P21" start="0" length="0">
    <dxf>
      <fill>
        <patternFill patternType="solid">
          <bgColor theme="0"/>
        </patternFill>
      </fill>
    </dxf>
  </rfmt>
  <rcc rId="150" sId="8">
    <oc r="AC22">
      <f>AA22-'Rach. zysków i strat'!C19</f>
    </oc>
    <nc r="AC22"/>
  </rcc>
  <rcc rId="151" sId="8">
    <oc r="AC23">
      <f>AA23-'Rach. zysków i strat'!C24-'Rach. zysków i strat'!C26</f>
    </oc>
    <nc r="AC23"/>
  </rcc>
  <rcc rId="152" sId="8">
    <oc r="AC24">
      <f>AA24-'Rach. zysków i strat'!C20</f>
    </oc>
    <nc r="AC24"/>
  </rcc>
  <rcc rId="153" sId="8">
    <oc r="AC25">
      <f>AA25-'Rach. zysków i strat'!C21-'Rach. zysków i strat'!C25</f>
    </oc>
    <nc r="AC25"/>
  </rcc>
  <rcc rId="154" sId="8">
    <oc r="AC26">
      <f>AA26-'Rach. zysków i strat'!C29</f>
    </oc>
    <nc r="AC26"/>
  </rcc>
  <rcc rId="155" sId="8">
    <oc r="AC27">
      <f>AA27-'Rach. zysków i strat'!C30</f>
    </oc>
    <nc r="AC27"/>
  </rcc>
  <rcc rId="156" sId="8">
    <oc r="AC29">
      <f>AA29-'Rach. zysków i strat'!C33</f>
    </oc>
    <nc r="AC29"/>
  </rcc>
  <rcc rId="157" sId="8">
    <oc r="AC30">
      <f>AA30-'Rach. zysków i strat'!C34</f>
    </oc>
    <nc r="AC30"/>
  </rcc>
  <rcc rId="158" sId="8">
    <oc r="AC32">
      <f>AA32-'Rach. zysków i strat'!C36</f>
    </oc>
    <nc r="AC32"/>
  </rcc>
  <rcc rId="159" sId="8">
    <oc r="AC33">
      <f>AA33-'Rach. zysków i strat'!C37</f>
    </oc>
    <nc r="AC33"/>
  </rcc>
  <rcc rId="160" sId="8">
    <oc r="AC36">
      <f>AA36-'Rach. zysków i strat'!C39</f>
    </oc>
    <nc r="AC36"/>
  </rcc>
  <rcc rId="161" sId="9" odxf="1" dxf="1">
    <nc r="P42">
      <f>N42-Bilans!C5</f>
    </nc>
    <ndxf>
      <numFmt numFmtId="171" formatCode="_-* #,##0&quot;   &quot;;[Red]\(#,##0\)&quot;  &quot;;&quot;-   &quot;"/>
    </ndxf>
  </rcc>
  <rcc rId="162" sId="9" odxf="1" dxf="1">
    <nc r="P43">
      <f>N43-Bilans!C6</f>
    </nc>
    <ndxf>
      <numFmt numFmtId="171" formatCode="_-* #,##0&quot;   &quot;;[Red]\(#,##0\)&quot;  &quot;;&quot;-   &quot;"/>
    </ndxf>
  </rcc>
  <rcc rId="163" sId="9" odxf="1" dxf="1">
    <nc r="P44">
      <f>N44-Bilans!C7-Bilans!C8</f>
    </nc>
    <ndxf>
      <numFmt numFmtId="171" formatCode="_-* #,##0&quot;   &quot;;[Red]\(#,##0\)&quot;  &quot;;&quot;-   &quot;"/>
    </ndxf>
  </rcc>
  <rcc rId="164" sId="9" odxf="1" dxf="1">
    <nc r="P45">
      <f>N45-Bilans!C9</f>
    </nc>
    <ndxf>
      <numFmt numFmtId="171" formatCode="_-* #,##0&quot;   &quot;;[Red]\(#,##0\)&quot;  &quot;;&quot;-   &quot;"/>
    </ndxf>
  </rcc>
  <rcc rId="165" sId="9" odxf="1" dxf="1">
    <nc r="P46">
      <f>N46-Bilans!C10-Bilans!C11</f>
    </nc>
    <ndxf>
      <numFmt numFmtId="171" formatCode="_-* #,##0&quot;   &quot;;[Red]\(#,##0\)&quot;  &quot;;&quot;-   &quot;"/>
    </ndxf>
  </rcc>
  <rcc rId="166" sId="9" odxf="1" dxf="1">
    <nc r="P47">
      <f>N47-Bilans!C12</f>
    </nc>
    <ndxf>
      <numFmt numFmtId="171" formatCode="_-* #,##0&quot;   &quot;;[Red]\(#,##0\)&quot;  &quot;;&quot;-   &quot;"/>
    </ndxf>
  </rcc>
  <rcc rId="167" sId="9" odxf="1" dxf="1">
    <nc r="P48">
      <f>N48-Bilans!C13</f>
    </nc>
    <ndxf>
      <numFmt numFmtId="171" formatCode="_-* #,##0&quot;   &quot;;[Red]\(#,##0\)&quot;  &quot;;&quot;-   &quot;"/>
    </ndxf>
  </rcc>
  <rcc rId="168" sId="9" odxf="1" dxf="1">
    <nc r="P49">
      <f>N49-Bilans!C14</f>
    </nc>
    <ndxf>
      <numFmt numFmtId="171" formatCode="_-* #,##0&quot;   &quot;;[Red]\(#,##0\)&quot;  &quot;;&quot;-   &quot;"/>
    </ndxf>
  </rcc>
  <rfmt sheetId="9" sqref="P51" start="0" length="0">
    <dxf>
      <numFmt numFmtId="164" formatCode="#,##0_);[Red]\(#,##0\)"/>
    </dxf>
  </rfmt>
  <rfmt sheetId="9" sqref="P52" start="0" length="0">
    <dxf>
      <numFmt numFmtId="164" formatCode="#,##0_);[Red]\(#,##0\)"/>
    </dxf>
  </rfmt>
  <rcc rId="169" sId="9">
    <nc r="P51">
      <f>N51-Bilans!C16</f>
    </nc>
  </rcc>
  <rcc rId="170" sId="9">
    <nc r="P52">
      <f>N52-Bilans!C17</f>
    </nc>
  </rcc>
  <rcc rId="171" sId="9" odxf="1" dxf="1">
    <nc r="P56">
      <f>N53+N54+N55+N56-Bilans!C18-Bilans!C19-Bilans!C20-Bilans!C21</f>
    </nc>
    <odxf>
      <numFmt numFmtId="0" formatCode="General"/>
    </odxf>
    <ndxf>
      <numFmt numFmtId="171" formatCode="_-* #,##0&quot;   &quot;;[Red]\(#,##0\)&quot;  &quot;;&quot;-   &quot;"/>
    </ndxf>
  </rcc>
  <rfmt sheetId="9" sqref="P53:P56">
    <dxf>
      <fill>
        <patternFill>
          <bgColor rgb="FFFFFF00"/>
        </patternFill>
      </fill>
    </dxf>
  </rfmt>
  <rcc rId="172" sId="9" odxf="1" dxf="1">
    <nc r="P57">
      <f>N57-Bilans!C22</f>
    </nc>
    <odxf>
      <numFmt numFmtId="0" formatCode="General"/>
    </odxf>
    <ndxf>
      <numFmt numFmtId="171" formatCode="_-* #,##0&quot;   &quot;;[Red]\(#,##0\)&quot;  &quot;;&quot;-   &quot;"/>
    </ndxf>
  </rcc>
  <rfmt sheetId="9" sqref="P58" start="0" length="0">
    <dxf>
      <numFmt numFmtId="164" formatCode="#,##0_);[Red]\(#,##0\)"/>
    </dxf>
  </rfmt>
  <rfmt sheetId="9" sqref="P59" start="0" length="0">
    <dxf>
      <numFmt numFmtId="164" formatCode="#,##0_);[Red]\(#,##0\)"/>
    </dxf>
  </rfmt>
  <rfmt sheetId="9" sqref="P60" start="0" length="0">
    <dxf>
      <numFmt numFmtId="164" formatCode="#,##0_);[Red]\(#,##0\)"/>
    </dxf>
  </rfmt>
  <rfmt sheetId="9" sqref="P61" start="0" length="0">
    <dxf>
      <numFmt numFmtId="164" formatCode="#,##0_);[Red]\(#,##0\)"/>
    </dxf>
  </rfmt>
  <rcc rId="173" sId="9">
    <nc r="P58">
      <f>N58-Bilans!C23</f>
    </nc>
  </rcc>
  <rcc rId="174" sId="9">
    <nc r="P59">
      <f>N59-Bilans!C24</f>
    </nc>
  </rcc>
  <rcc rId="175" sId="9">
    <nc r="P61">
      <f>N61-Bilans!C26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P65" start="0" length="0">
    <dxf>
      <numFmt numFmtId="3" formatCode="#,##0"/>
    </dxf>
  </rfmt>
  <rfmt sheetId="9" sqref="P66" start="0" length="0">
    <dxf>
      <numFmt numFmtId="3" formatCode="#,##0"/>
    </dxf>
  </rfmt>
  <rfmt sheetId="9" sqref="P67" start="0" length="0">
    <dxf>
      <numFmt numFmtId="3" formatCode="#,##0"/>
    </dxf>
  </rfmt>
  <rcc rId="176" sId="9" odxf="1" dxf="1">
    <nc r="P68">
      <f>N68</f>
    </nc>
    <odxf>
      <numFmt numFmtId="0" formatCode="General"/>
    </odxf>
    <ndxf>
      <numFmt numFmtId="3" formatCode="#,##0"/>
    </ndxf>
  </rcc>
  <rfmt sheetId="9" sqref="P69" start="0" length="0">
    <dxf>
      <numFmt numFmtId="3" formatCode="#,##0"/>
    </dxf>
  </rfmt>
  <rfmt sheetId="9" sqref="P70" start="0" length="0">
    <dxf>
      <numFmt numFmtId="3" formatCode="#,##0"/>
    </dxf>
  </rfmt>
  <rfmt sheetId="9" sqref="P71" start="0" length="0">
    <dxf>
      <numFmt numFmtId="3" formatCode="#,##0"/>
    </dxf>
  </rfmt>
  <rfmt sheetId="9" sqref="P73" start="0" length="0">
    <dxf>
      <numFmt numFmtId="3" formatCode="#,##0"/>
    </dxf>
  </rfmt>
  <rfmt sheetId="9" sqref="P75" start="0" length="0">
    <dxf>
      <numFmt numFmtId="164" formatCode="#,##0_);[Red]\(#,##0\)"/>
    </dxf>
  </rfmt>
  <rcc rId="177" sId="9">
    <nc r="P65">
      <f>N65-Bilans!C30</f>
    </nc>
  </rcc>
  <rcc rId="178" sId="9">
    <nc r="P66">
      <f>N66-Bilans!C31</f>
    </nc>
  </rcc>
  <rcc rId="179" sId="9">
    <nc r="P67">
      <f>N67-Bilans!C32</f>
    </nc>
  </rcc>
  <rcc rId="180" sId="9">
    <nc r="P69">
      <f>N69-Bilans!C33</f>
    </nc>
  </rcc>
  <rcc rId="181" sId="9">
    <nc r="P70">
      <f>N70-Bilans!C34</f>
    </nc>
  </rcc>
  <rcc rId="182" sId="9">
    <nc r="P71">
      <f>N71-Bilans!C35</f>
    </nc>
  </rcc>
  <rcc rId="183" sId="9">
    <nc r="P73">
      <f>N73-Bilans!C37</f>
    </nc>
  </rcc>
  <rcc rId="184" sId="9">
    <nc r="P75">
      <f>N75-Bilans!C39</f>
    </nc>
  </rcc>
  <rfmt sheetId="9" sqref="P79" start="0" length="0">
    <dxf>
      <numFmt numFmtId="3" formatCode="#,##0"/>
    </dxf>
  </rfmt>
  <rfmt sheetId="9" sqref="P80" start="0" length="0">
    <dxf>
      <numFmt numFmtId="3" formatCode="#,##0"/>
    </dxf>
  </rfmt>
  <rfmt sheetId="9" sqref="P81" start="0" length="0">
    <dxf>
      <numFmt numFmtId="3" formatCode="#,##0"/>
    </dxf>
  </rfmt>
  <rfmt sheetId="9" sqref="P82" start="0" length="0">
    <dxf>
      <numFmt numFmtId="3" formatCode="#,##0"/>
    </dxf>
  </rfmt>
  <rfmt sheetId="9" sqref="P83" start="0" length="0">
    <dxf>
      <numFmt numFmtId="3" formatCode="#,##0"/>
    </dxf>
  </rfmt>
  <rfmt sheetId="9" sqref="P84" start="0" length="0">
    <dxf>
      <numFmt numFmtId="3" formatCode="#,##0"/>
    </dxf>
  </rfmt>
  <rfmt sheetId="9" sqref="P85" start="0" length="0">
    <dxf>
      <numFmt numFmtId="3" formatCode="#,##0"/>
    </dxf>
  </rfmt>
  <rfmt sheetId="9" sqref="P86" start="0" length="0">
    <dxf>
      <numFmt numFmtId="3" formatCode="#,##0"/>
    </dxf>
  </rfmt>
  <rfmt sheetId="9" sqref="P88" start="0" length="0">
    <dxf>
      <numFmt numFmtId="3" formatCode="#,##0"/>
    </dxf>
  </rfmt>
  <rfmt sheetId="9" sqref="P89" start="0" length="0">
    <dxf>
      <numFmt numFmtId="3" formatCode="#,##0"/>
    </dxf>
  </rfmt>
  <rfmt sheetId="9" sqref="P90" start="0" length="0">
    <dxf>
      <numFmt numFmtId="3" formatCode="#,##0"/>
    </dxf>
  </rfmt>
  <rfmt sheetId="9" sqref="P91" start="0" length="0">
    <dxf>
      <numFmt numFmtId="3" formatCode="#,##0"/>
    </dxf>
  </rfmt>
  <rfmt sheetId="9" sqref="P92" start="0" length="0">
    <dxf>
      <numFmt numFmtId="3" formatCode="#,##0"/>
    </dxf>
  </rfmt>
  <rfmt sheetId="9" sqref="P93" start="0" length="0">
    <dxf>
      <numFmt numFmtId="3" formatCode="#,##0"/>
    </dxf>
  </rfmt>
  <rfmt sheetId="9" sqref="P94" start="0" length="0">
    <dxf>
      <numFmt numFmtId="3" formatCode="#,##0"/>
    </dxf>
  </rfmt>
  <rfmt sheetId="9" sqref="P95" start="0" length="0">
    <dxf>
      <numFmt numFmtId="3" formatCode="#,##0"/>
    </dxf>
  </rfmt>
  <rfmt sheetId="9" sqref="P96" start="0" length="0">
    <dxf>
      <numFmt numFmtId="3" formatCode="#,##0"/>
    </dxf>
  </rfmt>
  <rcc rId="185" sId="9" odxf="1" dxf="1">
    <nc r="P97">
      <f>N97</f>
    </nc>
    <odxf>
      <numFmt numFmtId="0" formatCode="General"/>
    </odxf>
    <ndxf>
      <numFmt numFmtId="3" formatCode="#,##0"/>
    </ndxf>
  </rcc>
  <rfmt sheetId="9" sqref="P98" start="0" length="0">
    <dxf>
      <numFmt numFmtId="3" formatCode="#,##0"/>
    </dxf>
  </rfmt>
  <rfmt sheetId="9" sqref="P100" start="0" length="0">
    <dxf>
      <numFmt numFmtId="164" formatCode="#,##0_);[Red]\(#,##0\)"/>
    </dxf>
  </rfmt>
  <rfmt sheetId="9" sqref="P102" start="0" length="0">
    <dxf>
      <numFmt numFmtId="164" formatCode="#,##0_);[Red]\(#,##0\)"/>
    </dxf>
  </rfmt>
  <rcc rId="186" sId="9">
    <nc r="P79">
      <f>N78+N79-Bilans!C42</f>
    </nc>
  </rcc>
  <rcc rId="187" sId="9">
    <nc r="P81">
      <f>N80+N81-Bilans!C47</f>
    </nc>
  </rcc>
  <rcc rId="188" sId="9">
    <nc r="P82">
      <f>N82-Bilans!C43</f>
    </nc>
  </rcc>
  <rcc rId="189" sId="9">
    <nc r="P83">
      <f>N83-Bilans!C44</f>
    </nc>
  </rcc>
  <rcc rId="190" sId="9">
    <nc r="P84">
      <f>N84-Bilans!C45</f>
    </nc>
  </rcc>
  <rcc rId="191" sId="9">
    <nc r="P85">
      <f>N85-Bilans!C46</f>
    </nc>
  </rcc>
  <rcc rId="192" sId="9">
    <nc r="P86">
      <f>N86-Bilans!C48</f>
    </nc>
  </rcc>
  <rcc rId="193" sId="9">
    <nc r="P89">
      <f>N88+N89-Bilans!C50</f>
    </nc>
  </rcc>
  <rcc rId="194" sId="9">
    <nc r="P90">
      <f>N90-Bilans!C52-Bilans!C53-Bilans!C59</f>
    </nc>
  </rcc>
  <rcc rId="195" sId="9">
    <nc r="P91">
      <f>N91-Bilans!C51</f>
    </nc>
  </rcc>
  <rcc rId="196" sId="9">
    <nc r="P92">
      <f>N92-Bilans!C54</f>
    </nc>
  </rcc>
  <rcc rId="197" sId="9">
    <nc r="P93">
      <f>N93-Bilans!C55-Bilans!C56</f>
    </nc>
  </rcc>
  <rcc rId="198" sId="9">
    <nc r="P94">
      <f>N94-Bilans!C57</f>
    </nc>
  </rcc>
  <rcc rId="199" sId="9">
    <nc r="P96">
      <f>N95+N96-Bilans!C58-Bilans!C60</f>
    </nc>
  </rcc>
  <rcc rId="200" sId="9">
    <nc r="P98">
      <f>N98-Bilans!C61</f>
    </nc>
  </rcc>
  <rcc rId="201" sId="9">
    <nc r="P100">
      <f>N100-Bilans!C63</f>
    </nc>
  </rcc>
  <rcc rId="202" sId="9">
    <nc r="P102">
      <f>N102-Bilans!C65</f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" sId="8" numFmtId="4">
    <oc r="AA22">
      <v>48846</v>
    </oc>
    <nc r="AA22">
      <f>48846-Z22</f>
    </nc>
  </rcc>
  <rcc rId="204" sId="8">
    <nc r="Z21" t="inlineStr">
      <is>
        <t>-</t>
      </is>
    </nc>
  </rcc>
  <rcc rId="205" sId="8">
    <nc r="AA21" t="inlineStr">
      <is>
        <t>-</t>
      </is>
    </nc>
  </rcc>
  <rfmt sheetId="8" sqref="Z21:AA21">
    <dxf>
      <numFmt numFmtId="35" formatCode="_-* #,##0.00\ _z_ł_-;\-* #,##0.00\ _z_ł_-;_-* &quot;-&quot;??\ _z_ł_-;_-@_-"/>
    </dxf>
  </rfmt>
  <rfmt sheetId="8" sqref="Z21:AA21">
    <dxf>
      <alignment horizontal="right" readingOrder="0"/>
    </dxf>
  </rfmt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" sId="8" numFmtId="4">
    <oc r="AA23">
      <v>-1388</v>
    </oc>
    <nc r="AA23">
      <f>-1388-Z23</f>
    </nc>
  </rcc>
  <rcc rId="207" sId="8" numFmtId="4">
    <oc r="AA24">
      <v>9922</v>
    </oc>
    <nc r="AA24">
      <f>9922-Z24</f>
    </nc>
  </rcc>
  <rcc rId="208" sId="8" numFmtId="4">
    <oc r="AA25">
      <v>-9011</v>
    </oc>
    <nc r="AA25">
      <f>-9011-Z25</f>
    </nc>
  </rcc>
  <rcc rId="209" sId="8" numFmtId="4">
    <oc r="AA26">
      <v>48369</v>
    </oc>
    <nc r="AA26">
      <f>48369-Z26</f>
    </nc>
  </rcc>
  <rcc rId="210" sId="8" numFmtId="4">
    <oc r="AA27">
      <v>53086</v>
    </oc>
    <nc r="AA27">
      <f>53086-Z27</f>
    </nc>
  </rcc>
  <rcc rId="211" sId="8" numFmtId="4">
    <oc r="AA29">
      <v>3435</v>
    </oc>
    <nc r="AA29">
      <f>3435-Z29</f>
    </nc>
  </rcc>
  <rcc rId="212" sId="8" numFmtId="4">
    <oc r="AA30">
      <v>1282</v>
    </oc>
    <nc r="AA30">
      <f>1282-Z30</f>
    </nc>
  </rcc>
  <rcc rId="213" sId="8" numFmtId="4">
    <oc r="AA32">
      <v>51804</v>
    </oc>
    <nc r="AA32">
      <f>51804-Z32</f>
    </nc>
  </rcc>
  <rcc rId="214" sId="8" numFmtId="4">
    <oc r="AA33">
      <v>1282</v>
    </oc>
    <nc r="AA33">
      <f>1282-Z33</f>
    </nc>
  </rcc>
  <rcc rId="215" sId="8" numFmtId="34">
    <oc r="AA36">
      <v>0</v>
    </oc>
    <nc r="AA36">
      <f>0-Z36</f>
    </nc>
  </rcc>
  <rcc rId="216" sId="8" numFmtId="4">
    <oc r="AA5">
      <f>8942857-Z5</f>
    </oc>
    <nc r="AA5">
      <v>4295822</v>
    </nc>
  </rcc>
  <rcc rId="217" sId="8" numFmtId="4">
    <oc r="AA6">
      <f>-8286129-Z6</f>
    </oc>
    <nc r="AA6">
      <v>-4363070</v>
    </nc>
  </rcc>
  <rcc rId="218" sId="8" numFmtId="4">
    <oc r="AA7">
      <f>656728-Z7</f>
    </oc>
    <nc r="AA7">
      <v>-67248</v>
    </nc>
  </rcc>
  <rcc rId="219" sId="8" numFmtId="4">
    <oc r="AA8">
      <f>59053-Z8</f>
    </oc>
    <nc r="AA8">
      <v>26278</v>
    </nc>
  </rcc>
  <rcc rId="220" sId="8" numFmtId="4">
    <oc r="AA9">
      <f>-220397-Z9</f>
    </oc>
    <nc r="AA9">
      <v>-110340</v>
    </nc>
  </rcc>
  <rcc rId="221" sId="8" numFmtId="4">
    <oc r="AA10">
      <f>-317979-Z10</f>
    </oc>
    <nc r="AA10">
      <v>-150336</v>
    </nc>
  </rcc>
  <rcc rId="222" sId="8" numFmtId="4">
    <oc r="AA11">
      <f>-43760-Z11</f>
    </oc>
    <nc r="AA11">
      <v>-20691</v>
    </nc>
  </rcc>
  <rcc rId="223" sId="8" numFmtId="4">
    <oc r="AA12">
      <f>133645-Z12</f>
    </oc>
    <nc r="AA12">
      <v>-322337</v>
    </nc>
  </rcc>
  <rcc rId="224" sId="8" numFmtId="4">
    <oc r="AA13">
      <f>55939-Z13</f>
    </oc>
    <nc r="AA13">
      <v>26746</v>
    </nc>
  </rcc>
  <rcc rId="225" sId="8" numFmtId="4">
    <oc r="AA14">
      <f>-216770-Z14</f>
    </oc>
    <nc r="AA14">
      <v>-120155</v>
    </nc>
  </rcc>
  <rcc rId="226" sId="8" numFmtId="4">
    <oc r="AA15">
      <f>59861-Z15</f>
    </oc>
    <nc r="AA15">
      <v>36826</v>
    </nc>
  </rcc>
  <rcc rId="227" sId="8" numFmtId="4">
    <oc r="AA16">
      <f>32675-Z16</f>
    </oc>
    <nc r="AA16">
      <v>-378920</v>
    </nc>
  </rcc>
  <rcc rId="228" sId="8" numFmtId="4">
    <oc r="AA17">
      <f>-27958-Z17</f>
    </oc>
    <nc r="AA17">
      <v>59831</v>
    </nc>
  </rcc>
  <rcc rId="229" sId="8" numFmtId="4">
    <oc r="AA18">
      <f>4717-Z18</f>
    </oc>
    <nc r="AA18">
      <v>-319089</v>
    </nc>
  </rcc>
  <rcc rId="230" sId="8" numFmtId="4">
    <oc r="AA22">
      <f>48846-Z22</f>
    </oc>
    <nc r="AA22">
      <v>23697</v>
    </nc>
  </rcc>
  <rcc rId="231" sId="8" numFmtId="4">
    <oc r="AA23">
      <f>-1388-Z23</f>
    </oc>
    <nc r="AA23">
      <v>1096</v>
    </nc>
  </rcc>
  <rcc rId="232" sId="8" numFmtId="4">
    <oc r="AA24">
      <f>9922-Z24</f>
    </oc>
    <nc r="AA24">
      <v>9926</v>
    </nc>
  </rcc>
  <rcc rId="233" sId="8" numFmtId="4">
    <oc r="AA25">
      <f>-9011-Z25</f>
    </oc>
    <nc r="AA25">
      <v>-4711</v>
    </nc>
  </rcc>
  <rcc rId="234" sId="8" numFmtId="4">
    <oc r="AA26">
      <f>48369-Z26</f>
    </oc>
    <nc r="AA26">
      <v>30008</v>
    </nc>
  </rcc>
  <rcc rId="235" sId="8" numFmtId="4">
    <oc r="AA27">
      <f>53086-Z27</f>
    </oc>
    <nc r="AA27">
      <v>-289081</v>
    </nc>
  </rcc>
  <rcc rId="236" sId="8" numFmtId="4">
    <oc r="AA29">
      <f>3435-Z29</f>
    </oc>
    <nc r="AA29">
      <v>-319810</v>
    </nc>
  </rcc>
  <rcc rId="237" sId="8" numFmtId="4">
    <oc r="AA30">
      <f>1282-Z30</f>
    </oc>
    <nc r="AA30">
      <v>721</v>
    </nc>
  </rcc>
  <rcc rId="238" sId="8" numFmtId="4">
    <oc r="AA32">
      <f>51804-Z32</f>
    </oc>
    <nc r="AA32">
      <v>-289802</v>
    </nc>
  </rcc>
  <rcc rId="239" sId="8" numFmtId="4">
    <oc r="AA33">
      <f>1282-Z33</f>
    </oc>
    <nc r="AA33">
      <v>721</v>
    </nc>
  </rcc>
  <rcc rId="240" sId="8" numFmtId="34">
    <oc r="AA36">
      <f>0-Z36</f>
    </oc>
    <nc r="AA36">
      <v>-0.18</v>
    </nc>
  </rcc>
  <rfmt sheetId="8" sqref="AA55">
    <dxf>
      <fill>
        <patternFill>
          <bgColor theme="5" tint="0.39997558519241921"/>
        </patternFill>
      </fill>
    </dxf>
  </rfmt>
  <rfmt sheetId="8" sqref="AA55">
    <dxf>
      <fill>
        <patternFill>
          <bgColor theme="0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8">
    <oc r="AC79">
      <f>AA79</f>
    </oc>
    <nc r="AC79">
      <f>AA78+AA79-Bilans!C42</f>
    </nc>
  </rcc>
  <rcc rId="2" sId="8">
    <oc r="AC78">
      <f>AA78</f>
    </oc>
    <nc r="AC78"/>
  </rcc>
  <rfmt sheetId="8" sqref="AC78:AC79">
    <dxf>
      <fill>
        <patternFill>
          <bgColor theme="0"/>
        </patternFill>
      </fill>
    </dxf>
  </rfmt>
  <rcc rId="3" sId="8">
    <oc r="AC80">
      <f>AA80</f>
    </oc>
    <nc r="AC80"/>
  </rcc>
  <rcc rId="4" sId="8">
    <oc r="AC81">
      <f>AA81</f>
    </oc>
    <nc r="AC81">
      <f>AA80+AA81-Bilans!C47</f>
    </nc>
  </rcc>
  <rfmt sheetId="8" sqref="AC80:AC81">
    <dxf>
      <fill>
        <patternFill>
          <bgColor theme="0"/>
        </patternFill>
      </fill>
    </dxf>
  </rfmt>
  <rcc rId="5" sId="8">
    <oc r="AC89">
      <f>AA89</f>
    </oc>
    <nc r="AC89">
      <f>AA88+AA89-Bilans!C50</f>
    </nc>
  </rcc>
  <rcc rId="6" sId="8">
    <oc r="AC88">
      <f>AA88</f>
    </oc>
    <nc r="AC88"/>
  </rcc>
  <rfmt sheetId="8" sqref="AC88:AC89">
    <dxf>
      <fill>
        <patternFill>
          <bgColor theme="0"/>
        </patternFill>
      </fill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1" sId="9" numFmtId="34">
    <oc r="N107">
      <v>444270</v>
    </oc>
    <nc r="N107">
      <v>32675</v>
    </nc>
  </rcc>
  <rcc rId="242" sId="9" numFmtId="34">
    <oc r="N109">
      <v>-82896</v>
    </oc>
    <nc r="N109">
      <v>-59861</v>
    </nc>
  </rcc>
  <rcc rId="243" sId="9" numFmtId="34">
    <oc r="N110">
      <v>1234990</v>
    </oc>
    <nc r="N110">
      <v>821372</v>
    </nc>
  </rcc>
  <rcc rId="244" sId="9" numFmtId="34">
    <oc r="N111">
      <v>26703</v>
    </oc>
    <nc r="N111">
      <v>28369</v>
    </nc>
  </rcc>
  <rcc rId="245" sId="9" numFmtId="34">
    <oc r="N112">
      <v>190640</v>
    </oc>
    <nc r="N112">
      <v>126386</v>
    </nc>
  </rcc>
  <rcc rId="246" sId="9" numFmtId="34">
    <oc r="N113">
      <v>-14626</v>
    </oc>
    <nc r="N113"/>
  </rcc>
  <rcc rId="247" sId="9" numFmtId="34">
    <oc r="N114">
      <v>-55654</v>
    </oc>
    <nc r="N114">
      <v>29916</v>
    </nc>
  </rcc>
  <rcc rId="248" sId="9" numFmtId="34">
    <oc r="N115">
      <v>41903</v>
    </oc>
    <nc r="N115">
      <v>27672</v>
    </nc>
  </rcc>
  <rcc rId="249" sId="9" numFmtId="34">
    <oc r="N116">
      <v>-429376</v>
    </oc>
    <nc r="N116">
      <v>-310295</v>
    </nc>
  </rcc>
  <rcc rId="250" sId="9" numFmtId="34">
    <oc r="N117">
      <v>1318310</v>
    </oc>
    <nc r="N117">
      <v>760141</v>
    </nc>
  </rcc>
  <rcc rId="251" sId="9" numFmtId="34">
    <oc r="N118">
      <v>-29119</v>
    </oc>
    <nc r="N118">
      <v>11428</v>
    </nc>
  </rcc>
  <rcc rId="252" sId="9" numFmtId="34">
    <oc r="N119">
      <v>-1004088</v>
    </oc>
    <nc r="N119">
      <v>-512076</v>
    </nc>
  </rcc>
  <rcc rId="253" sId="9" numFmtId="34">
    <oc r="N120">
      <v>-438093</v>
    </oc>
    <nc r="N120">
      <v>-219387</v>
    </nc>
  </rcc>
  <rcc rId="254" sId="9" numFmtId="34">
    <oc r="N121">
      <v>-2605</v>
    </oc>
    <nc r="N121">
      <v>-1515</v>
    </nc>
  </rcc>
  <rcc rId="255" sId="9" numFmtId="34">
    <oc r="N122">
      <v>1882705</v>
    </oc>
    <nc r="N122">
      <v>1417171</v>
    </nc>
  </rcc>
  <rcc rId="256" sId="9" numFmtId="34">
    <oc r="N124">
      <v>20845</v>
    </oc>
    <nc r="N124">
      <v>15403</v>
    </nc>
  </rcc>
  <rcc rId="257" sId="9" numFmtId="34">
    <oc r="N125">
      <v>-2763566</v>
    </oc>
    <nc r="N125">
      <v>-1769630</v>
    </nc>
  </rcc>
  <rcc rId="258" sId="9" numFmtId="34">
    <oc r="N127">
      <v>11697</v>
    </oc>
    <nc r="N127">
      <v>11117</v>
    </nc>
  </rcc>
  <rcc rId="259" sId="9" numFmtId="34">
    <oc r="N129">
      <v>-31224</v>
    </oc>
    <nc r="N129">
      <v>-29534</v>
    </nc>
  </rcc>
  <rcc rId="260" sId="9" numFmtId="34">
    <oc r="N133">
      <v>438</v>
    </oc>
    <nc r="N133">
      <v>357</v>
    </nc>
  </rcc>
  <rcc rId="261" sId="9" numFmtId="34">
    <oc r="N135">
      <v>-13600</v>
    </oc>
    <nc r="N135">
      <v>-7600</v>
    </nc>
  </rcc>
  <rcc rId="262" sId="9" numFmtId="34">
    <oc r="N139">
      <v>-12906</v>
    </oc>
    <nc r="N139">
      <v>-8008</v>
    </nc>
  </rcc>
  <rcc rId="263" sId="9" numFmtId="34">
    <oc r="N141">
      <v>-67047</v>
    </oc>
    <nc r="N141">
      <v>-44724</v>
    </nc>
  </rcc>
  <rcc rId="264" sId="9" numFmtId="34">
    <oc r="N142">
      <v>5720000</v>
    </oc>
    <nc r="N142">
      <v>2860000</v>
    </nc>
  </rcc>
  <rcc rId="265" sId="9" numFmtId="34">
    <oc r="N143">
      <v>-4500000</v>
    </oc>
    <nc r="N143">
      <v>-2250000</v>
    </nc>
  </rcc>
  <rcc rId="266" sId="9" numFmtId="34">
    <oc r="N146">
      <v>-142504</v>
    </oc>
    <nc r="N146">
      <v>-117339</v>
    </nc>
  </rcc>
  <rcc rId="267" sId="9" numFmtId="34">
    <oc r="N148">
      <v>-248764</v>
    </oc>
    <nc r="N148">
      <v>-115939</v>
    </nc>
  </rcc>
  <rcc rId="268" sId="9" numFmtId="34">
    <oc r="N150">
      <v>-71458</v>
    </oc>
    <nc r="N150">
      <v>-33742</v>
    </nc>
  </rcc>
  <rcc rId="269" sId="9" numFmtId="34">
    <oc r="N151">
      <v>3559</v>
    </oc>
    <nc r="N151">
      <v>879</v>
    </nc>
  </rcc>
  <rfmt sheetId="9" sqref="P107" start="0" length="0">
    <dxf>
      <numFmt numFmtId="3" formatCode="#,##0"/>
    </dxf>
  </rfmt>
  <rfmt sheetId="9" sqref="P109" start="0" length="0">
    <dxf>
      <numFmt numFmtId="164" formatCode="#,##0_);[Red]\(#,##0\)"/>
    </dxf>
  </rfmt>
  <rfmt sheetId="9" sqref="P110" start="0" length="0">
    <dxf>
      <numFmt numFmtId="164" formatCode="#,##0_);[Red]\(#,##0\)"/>
    </dxf>
  </rfmt>
  <rcc rId="270" sId="9" odxf="1" dxf="1">
    <nc r="P111">
      <f>N111</f>
    </nc>
    <odxf>
      <numFmt numFmtId="0" formatCode="General"/>
      <fill>
        <patternFill>
          <bgColor theme="0"/>
        </patternFill>
      </fill>
    </odxf>
    <ndxf>
      <numFmt numFmtId="164" formatCode="#,##0_);[Red]\(#,##0\)"/>
      <fill>
        <patternFill>
          <bgColor rgb="FFFFFF00"/>
        </patternFill>
      </fill>
    </ndxf>
  </rcc>
  <rcc rId="271" sId="9" odxf="1" dxf="1">
    <nc r="P112">
      <f>N112</f>
    </nc>
    <odxf>
      <numFmt numFmtId="0" formatCode="General"/>
      <fill>
        <patternFill>
          <bgColor theme="0"/>
        </patternFill>
      </fill>
    </odxf>
    <ndxf>
      <numFmt numFmtId="164" formatCode="#,##0_);[Red]\(#,##0\)"/>
      <fill>
        <patternFill>
          <bgColor rgb="FFFFFF00"/>
        </patternFill>
      </fill>
    </ndxf>
  </rcc>
  <rcc rId="272" sId="9" odxf="1" dxf="1">
    <nc r="P113">
      <f>N113</f>
    </nc>
    <odxf>
      <numFmt numFmtId="0" formatCode="General"/>
      <fill>
        <patternFill>
          <bgColor theme="0"/>
        </patternFill>
      </fill>
    </odxf>
    <ndxf>
      <numFmt numFmtId="164" formatCode="#,##0_);[Red]\(#,##0\)"/>
      <fill>
        <patternFill>
          <bgColor rgb="FFFFFF00"/>
        </patternFill>
      </fill>
    </ndxf>
  </rcc>
  <rfmt sheetId="9" sqref="P114" start="0" length="0">
    <dxf>
      <numFmt numFmtId="164" formatCode="#,##0_);[Red]\(#,##0\)"/>
    </dxf>
  </rfmt>
  <rfmt sheetId="9" sqref="P115" start="0" length="0">
    <dxf>
      <numFmt numFmtId="164" formatCode="#,##0_);[Red]\(#,##0\)"/>
    </dxf>
  </rfmt>
  <rfmt sheetId="9" sqref="P116" start="0" length="0">
    <dxf>
      <numFmt numFmtId="164" formatCode="#,##0_);[Red]\(#,##0\)"/>
    </dxf>
  </rfmt>
  <rfmt sheetId="9" sqref="P117" start="0" length="0">
    <dxf>
      <numFmt numFmtId="164" formatCode="#,##0_);[Red]\(#,##0\)"/>
    </dxf>
  </rfmt>
  <rfmt sheetId="9" sqref="P118" start="0" length="0">
    <dxf>
      <numFmt numFmtId="164" formatCode="#,##0_);[Red]\(#,##0\)"/>
    </dxf>
  </rfmt>
  <rfmt sheetId="9" sqref="P119" start="0" length="0">
    <dxf>
      <numFmt numFmtId="164" formatCode="#,##0_);[Red]\(#,##0\)"/>
    </dxf>
  </rfmt>
  <rfmt sheetId="9" sqref="P120" start="0" length="0">
    <dxf>
      <numFmt numFmtId="164" formatCode="#,##0_);[Red]\(#,##0\)"/>
    </dxf>
  </rfmt>
  <rcc rId="273" sId="9" odxf="1" dxf="1">
    <nc r="P121">
      <f>N121</f>
    </nc>
    <odxf>
      <numFmt numFmtId="0" formatCode="General"/>
      <fill>
        <patternFill>
          <bgColor theme="0"/>
        </patternFill>
      </fill>
    </odxf>
    <ndxf>
      <numFmt numFmtId="164" formatCode="#,##0_);[Red]\(#,##0\)"/>
      <fill>
        <patternFill>
          <bgColor rgb="FFFFFF00"/>
        </patternFill>
      </fill>
    </ndxf>
  </rcc>
  <rfmt sheetId="9" sqref="P122" start="0" length="0">
    <dxf>
      <numFmt numFmtId="164" formatCode="#,##0_);[Red]\(#,##0\)"/>
    </dxf>
  </rfmt>
  <rcc rId="274" sId="9">
    <nc r="P107">
      <f>N107-'Rach. przepływów pieniężnych'!C4</f>
    </nc>
  </rcc>
  <rcc rId="275" sId="9">
    <nc r="P109">
      <f>N109-'Rach. przepływów pieniężnych'!C5</f>
    </nc>
  </rcc>
  <rcc rId="276" sId="9">
    <nc r="P110">
      <f>N110-'Rach. przepływów pieniężnych'!C6</f>
    </nc>
  </rcc>
  <rcc rId="277" sId="9">
    <nc r="P119">
      <f>N114+N115+N116+N117+N118+N119-'Rach. przepływów pieniężnych'!C10</f>
    </nc>
  </rcc>
  <rcc rId="278" sId="9">
    <nc r="P120">
      <f>N120-'Rach. przepływów pieniężnych'!C11</f>
    </nc>
  </rcc>
  <rcc rId="279" sId="9">
    <nc r="P122">
      <f>N122-'Rach. przepływów pieniężnych'!C12</f>
    </nc>
  </rcc>
  <rcc rId="280" sId="9">
    <nc r="P126">
      <f>N126</f>
    </nc>
  </rcc>
  <rcc rId="281" sId="9">
    <nc r="P127">
      <f>N127</f>
    </nc>
  </rcc>
  <rcc rId="282" sId="9">
    <nc r="P128">
      <f>N128</f>
    </nc>
  </rcc>
  <rcc rId="283" sId="9">
    <nc r="P130">
      <f>N130</f>
    </nc>
  </rcc>
  <rcc rId="284" sId="9">
    <nc r="P131">
      <f>N131</f>
    </nc>
  </rcc>
  <rcc rId="285" sId="9">
    <nc r="P132">
      <f>N132</f>
    </nc>
  </rcc>
  <rcc rId="286" sId="9">
    <nc r="P133">
      <f>N133</f>
    </nc>
  </rcc>
  <rcc rId="287" sId="9">
    <nc r="P134">
      <f>N134</f>
    </nc>
  </rcc>
  <rcc rId="288" sId="9" odxf="1" dxf="1">
    <nc r="P124">
      <f>N124-'Rach. przepływów pieniężnych'!C19</f>
    </nc>
    <ndxf>
      <numFmt numFmtId="171" formatCode="_-* #,##0&quot;   &quot;;[Red]\(#,##0\)&quot;  &quot;;&quot;-   &quot;"/>
    </ndxf>
  </rcc>
  <rcc rId="289" sId="9" odxf="1" dxf="1">
    <nc r="P125">
      <f>N125-'Rach. przepływów pieniężnych'!C14</f>
    </nc>
    <ndxf>
      <numFmt numFmtId="171" formatCode="_-* #,##0&quot;   &quot;;[Red]\(#,##0\)&quot;  &quot;;&quot;-   &quot;"/>
    </ndxf>
  </rcc>
  <rcc rId="290" sId="9" odxf="1" dxf="1">
    <nc r="P129">
      <f>N129-'Rach. przepływów pieniężnych'!C16</f>
    </nc>
    <ndxf>
      <numFmt numFmtId="171" formatCode="_-* #,##0&quot;   &quot;;[Red]\(#,##0\)&quot;  &quot;;&quot;-   &quot;"/>
    </ndxf>
  </rcc>
  <rfmt sheetId="9" sqref="Q133" start="0" length="0">
    <dxf>
      <numFmt numFmtId="171" formatCode="_-* #,##0&quot;   &quot;;[Red]\(#,##0\)&quot;  &quot;;&quot;-   &quot;"/>
    </dxf>
  </rfmt>
  <rcc rId="291" sId="9">
    <nc r="Q133">
      <f>N127+N132+N133-'Rach. przepływów pieniężnych'!C22</f>
    </nc>
  </rcc>
  <rcc rId="292" sId="9" odxf="1" dxf="1">
    <nc r="P135">
      <f>N135-'Rach. przepływów pieniężnych'!C17</f>
    </nc>
    <ndxf>
      <numFmt numFmtId="171" formatCode="_-* #,##0&quot;   &quot;;[Red]\(#,##0\)&quot;  &quot;;&quot;-   &quot;"/>
    </ndxf>
  </rcc>
  <rcc rId="293" sId="9" odxf="1" dxf="1">
    <nc r="P137">
      <f>N137-'Rach. przepływów pieniężnych'!C24</f>
    </nc>
    <ndxf>
      <numFmt numFmtId="171" formatCode="_-* #,##0&quot;   &quot;;[Red]\(#,##0\)&quot;  &quot;;&quot;-   &quot;"/>
    </ndxf>
  </rcc>
  <rfmt sheetId="9" sqref="P127">
    <dxf>
      <fill>
        <patternFill>
          <bgColor rgb="FFFFFF00"/>
        </patternFill>
      </fill>
    </dxf>
  </rfmt>
  <rfmt sheetId="9" sqref="P132:P133">
    <dxf>
      <fill>
        <patternFill>
          <bgColor rgb="FFFFFF00"/>
        </patternFill>
      </fill>
    </dxf>
  </rfmt>
  <rfmt sheetId="9" sqref="Q133">
    <dxf>
      <fill>
        <patternFill>
          <bgColor rgb="FFFFFF00"/>
        </patternFill>
      </fill>
    </dxf>
  </rfmt>
  <rcc rId="294" sId="9" numFmtId="34">
    <oc r="N137">
      <v>-2768818</v>
    </oc>
    <nc r="N137">
      <v>-1904372</v>
    </nc>
  </rcc>
  <rcc rId="295" sId="9" odxf="1" dxf="1">
    <nc r="P139">
      <f>N139</f>
    </nc>
    <odxf>
      <numFmt numFmtId="0" formatCode="General"/>
      <fill>
        <patternFill>
          <bgColor theme="0"/>
        </patternFill>
      </fill>
    </odxf>
    <ndxf>
      <numFmt numFmtId="164" formatCode="#,##0_);[Red]\(#,##0\)"/>
      <fill>
        <patternFill>
          <bgColor rgb="FFFFFF00"/>
        </patternFill>
      </fill>
    </ndxf>
  </rcc>
  <rfmt sheetId="9" sqref="P140" start="0" length="0">
    <dxf>
      <numFmt numFmtId="164" formatCode="#,##0_);[Red]\(#,##0\)"/>
    </dxf>
  </rfmt>
  <rfmt sheetId="9" sqref="P141" start="0" length="0">
    <dxf>
      <numFmt numFmtId="164" formatCode="#,##0_);[Red]\(#,##0\)"/>
    </dxf>
  </rfmt>
  <rfmt sheetId="9" sqref="P142" start="0" length="0">
    <dxf>
      <numFmt numFmtId="164" formatCode="#,##0_);[Red]\(#,##0\)"/>
    </dxf>
  </rfmt>
  <rfmt sheetId="9" sqref="P143" start="0" length="0">
    <dxf>
      <numFmt numFmtId="164" formatCode="#,##0_);[Red]\(#,##0\)"/>
    </dxf>
  </rfmt>
  <rcc rId="296" sId="9" odxf="1" dxf="1">
    <nc r="P144">
      <f>N144</f>
    </nc>
    <odxf>
      <numFmt numFmtId="0" formatCode="General"/>
      <fill>
        <patternFill>
          <bgColor theme="0"/>
        </patternFill>
      </fill>
    </odxf>
    <ndxf>
      <numFmt numFmtId="164" formatCode="#,##0_);[Red]\(#,##0\)"/>
      <fill>
        <patternFill>
          <bgColor rgb="FFFFFF00"/>
        </patternFill>
      </fill>
    </ndxf>
  </rcc>
  <rcc rId="297" sId="9" odxf="1" dxf="1">
    <nc r="P145">
      <f>N145</f>
    </nc>
    <odxf>
      <numFmt numFmtId="0" formatCode="General"/>
      <fill>
        <patternFill>
          <bgColor theme="0"/>
        </patternFill>
      </fill>
    </odxf>
    <ndxf>
      <numFmt numFmtId="164" formatCode="#,##0_);[Red]\(#,##0\)"/>
      <fill>
        <patternFill>
          <bgColor rgb="FFFFFF00"/>
        </patternFill>
      </fill>
    </ndxf>
  </rcc>
  <rfmt sheetId="9" sqref="P146" start="0" length="0">
    <dxf>
      <numFmt numFmtId="164" formatCode="#,##0_);[Red]\(#,##0\)"/>
    </dxf>
  </rfmt>
  <rcc rId="298" sId="9" odxf="1" dxf="1">
    <nc r="P147">
      <f>N147</f>
    </nc>
    <odxf>
      <numFmt numFmtId="0" formatCode="General"/>
      <fill>
        <patternFill>
          <bgColor theme="0"/>
        </patternFill>
      </fill>
    </odxf>
    <ndxf>
      <numFmt numFmtId="164" formatCode="#,##0_);[Red]\(#,##0\)"/>
      <fill>
        <patternFill>
          <bgColor rgb="FFFFFF00"/>
        </patternFill>
      </fill>
    </ndxf>
  </rcc>
  <rcc rId="299" sId="9" odxf="1" dxf="1">
    <nc r="P148">
      <f>N148</f>
    </nc>
    <odxf>
      <numFmt numFmtId="0" formatCode="General"/>
      <fill>
        <patternFill>
          <bgColor theme="0"/>
        </patternFill>
      </fill>
    </odxf>
    <ndxf>
      <numFmt numFmtId="164" formatCode="#,##0_);[Red]\(#,##0\)"/>
      <fill>
        <patternFill>
          <bgColor rgb="FFFFFF00"/>
        </patternFill>
      </fill>
    </ndxf>
  </rcc>
  <rfmt sheetId="9" sqref="P149" start="0" length="0">
    <dxf>
      <numFmt numFmtId="164" formatCode="#,##0_);[Red]\(#,##0\)"/>
    </dxf>
  </rfmt>
  <rfmt sheetId="9" sqref="P150" start="0" length="0">
    <dxf>
      <numFmt numFmtId="164" formatCode="#,##0_);[Red]\(#,##0\)"/>
    </dxf>
  </rfmt>
  <rfmt sheetId="9" sqref="P151" start="0" length="0">
    <dxf>
      <numFmt numFmtId="164" formatCode="#,##0_);[Red]\(#,##0\)"/>
    </dxf>
  </rfmt>
  <rfmt sheetId="9" sqref="P152" start="0" length="0">
    <dxf>
      <numFmt numFmtId="164" formatCode="#,##0_);[Red]\(#,##0\)"/>
    </dxf>
  </rfmt>
  <rfmt sheetId="9" sqref="P153" start="0" length="0">
    <dxf>
      <numFmt numFmtId="164" formatCode="#,##0_);[Red]\(#,##0\)"/>
    </dxf>
  </rfmt>
  <rfmt sheetId="9" sqref="P154" start="0" length="0">
    <dxf>
      <numFmt numFmtId="164" formatCode="#,##0_);[Red]\(#,##0\)"/>
    </dxf>
  </rfmt>
  <rcc rId="300" sId="9">
    <nc r="P140">
      <f>N140-'Rach. przepływów pieniężnych'!C32</f>
    </nc>
  </rcc>
  <rfmt sheetId="9" sqref="N136">
    <dxf>
      <fill>
        <patternFill>
          <bgColor rgb="FFFFFF00"/>
        </patternFill>
      </fill>
    </dxf>
  </rfmt>
  <rfmt sheetId="9" sqref="N136">
    <dxf>
      <fill>
        <patternFill>
          <bgColor rgb="FFFFC000"/>
        </patternFill>
      </fill>
    </dxf>
  </rfmt>
  <rcc rId="301" sId="9" numFmtId="34">
    <oc r="N136">
      <v>0</v>
    </oc>
    <nc r="N136">
      <v>-131077</v>
    </nc>
  </rcc>
  <rcc rId="302" sId="9" odxf="1" dxf="1">
    <nc r="P136">
      <f>N136-'Rach. przepływów pieniężnych'!C15</f>
    </nc>
    <ndxf>
      <numFmt numFmtId="171" formatCode="_-* #,##0&quot;   &quot;;[Red]\(#,##0\)&quot;  &quot;;&quot;-   &quot;"/>
    </ndxf>
  </rcc>
  <rcc rId="303" sId="9">
    <nc r="P141">
      <f>N141-'Rach. przepływów pieniężnych'!C27</f>
    </nc>
  </rcc>
  <rcc rId="304" sId="9">
    <nc r="P142">
      <f>N142-'Rach. przepływów pieniężnych'!C31</f>
    </nc>
  </rcc>
  <rcc rId="305" sId="9">
    <nc r="P143">
      <f>N143-'Rach. przepływów pieniężnych'!C26</f>
    </nc>
  </rcc>
  <rcc rId="306" sId="9">
    <nc r="P146">
      <f>N146-'Rach. przepływów pieniężnych'!C28</f>
    </nc>
  </rcc>
  <rcc rId="307" sId="9">
    <nc r="P149">
      <f>N149-'Rach. przepływów pieniężnych'!C35</f>
    </nc>
  </rcc>
  <rcc rId="308" sId="9">
    <nc r="P150">
      <f>N150-'Rach. przepływów pieniężnych'!C36</f>
    </nc>
  </rcc>
  <rcc rId="309" sId="9">
    <nc r="P154">
      <f>N154-'Rach. przepływów pieniężnych'!C40</f>
    </nc>
  </rcc>
  <rcc rId="310" sId="9">
    <nc r="P153">
      <f>N153-'Rach. przepływów pieniężnych'!C39</f>
    </nc>
  </rcc>
  <rcc rId="311" sId="9">
    <nc r="P152">
      <f>N152-'Rach. przepływów pieniężnych'!C38</f>
    </nc>
  </rcc>
  <rcc rId="312" sId="9">
    <nc r="P151">
      <f>N151-'Rach. przepływów pieniężnych'!C37</f>
    </nc>
  </rcc>
  <rcc rId="313" sId="9" numFmtId="34">
    <oc r="N149">
      <v>747171</v>
    </oc>
    <nc r="N149">
      <v>453459</v>
    </nc>
  </rcc>
  <rcmt sheetId="9" cell="N136" guid="{B5D5AE40-37F8-45DD-92B3-68BF0AB4D876}" author="Otto Sonia" newLength="36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4" sId="9">
    <oc r="N148">
      <v>-115939</v>
    </oc>
    <nc r="N148">
      <f>-115939+131077</f>
    </nc>
  </rcc>
  <rfmt sheetId="9" sqref="N148">
    <dxf>
      <fill>
        <patternFill>
          <bgColor rgb="FFFFC000"/>
        </patternFill>
      </fill>
    </dxf>
  </rfmt>
  <rcc rId="315" sId="9">
    <oc r="P127">
      <f>N127</f>
    </oc>
    <nc r="P127"/>
  </rcc>
  <rcc rId="316" sId="9">
    <oc r="P132">
      <f>N132</f>
    </oc>
    <nc r="P132"/>
  </rcc>
  <rcc rId="317" sId="9">
    <oc r="P133">
      <f>N133</f>
    </oc>
    <nc r="P133"/>
  </rcc>
  <rfmt sheetId="9" sqref="Q148" start="0" length="0">
    <dxf>
      <numFmt numFmtId="171" formatCode="_-* #,##0&quot;   &quot;;[Red]\(#,##0\)&quot;  &quot;;&quot;-   &quot;"/>
    </dxf>
  </rfmt>
  <rcc rId="318" sId="9">
    <nc r="Q148">
      <f>N139+N144+N145+N148+N147-'Rach. przepływów pieniężnych'!C29-'Rach. przepływów pieniężnych'!C33</f>
    </nc>
  </rcc>
  <rcc rId="319" sId="9">
    <oc r="P139">
      <f>N139</f>
    </oc>
    <nc r="P139"/>
  </rcc>
  <rcc rId="320" sId="9">
    <oc r="P144">
      <f>N144</f>
    </oc>
    <nc r="P144"/>
  </rcc>
  <rcc rId="321" sId="9">
    <oc r="P145">
      <f>N145</f>
    </oc>
    <nc r="P145"/>
  </rcc>
  <rcc rId="322" sId="9">
    <oc r="P147">
      <f>N147</f>
    </oc>
    <nc r="P147"/>
  </rcc>
  <rcc rId="323" sId="9">
    <oc r="P148">
      <f>N148</f>
    </oc>
    <nc r="P148"/>
  </rcc>
  <rfmt sheetId="9" sqref="Q148">
    <dxf>
      <fill>
        <patternFill>
          <bgColor rgb="FFFFFF00"/>
        </patternFill>
      </fill>
    </dxf>
  </rfmt>
  <rcmt sheetId="9" cell="N148" guid="{80B27F03-3E8C-4015-8963-97047DB59245}" author="Otto Sonia" newLength="53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AA80">
    <dxf>
      <fill>
        <patternFill>
          <bgColor theme="5" tint="0.39997558519241921"/>
        </patternFill>
      </fill>
    </dxf>
  </rfmt>
  <rfmt sheetId="8" sqref="AA80">
    <dxf>
      <fill>
        <patternFill>
          <bgColor theme="0"/>
        </patternFill>
      </fill>
    </dxf>
  </rfmt>
  <rfmt sheetId="8" sqref="AC53">
    <dxf>
      <fill>
        <patternFill>
          <bgColor theme="8" tint="0.39997558519241921"/>
        </patternFill>
      </fill>
    </dxf>
  </rfmt>
  <rfmt sheetId="8" sqref="AC54">
    <dxf>
      <fill>
        <patternFill>
          <bgColor theme="8" tint="0.39997558519241921"/>
        </patternFill>
      </fill>
    </dxf>
  </rfmt>
  <rfmt sheetId="8" sqref="AC41" start="0" length="0">
    <dxf>
      <fill>
        <patternFill patternType="none">
          <bgColor indexed="65"/>
        </patternFill>
      </fill>
    </dxf>
  </rfmt>
  <rfmt sheetId="8" sqref="AD41" start="0" length="0">
    <dxf>
      <fill>
        <patternFill patternType="none">
          <bgColor indexed="65"/>
        </patternFill>
      </fill>
    </dxf>
  </rfmt>
  <rfmt sheetId="8" sqref="AC42" start="0" length="0">
    <dxf>
      <numFmt numFmtId="0" formatCode="General"/>
      <fill>
        <patternFill patternType="none">
          <bgColor indexed="65"/>
        </patternFill>
      </fill>
    </dxf>
  </rfmt>
  <rfmt sheetId="8" sqref="AD42" start="0" length="0">
    <dxf>
      <fill>
        <patternFill patternType="none">
          <bgColor indexed="65"/>
        </patternFill>
      </fill>
    </dxf>
  </rfmt>
  <rfmt sheetId="8" sqref="AC43" start="0" length="0">
    <dxf>
      <numFmt numFmtId="0" formatCode="General"/>
      <fill>
        <patternFill patternType="none">
          <bgColor indexed="65"/>
        </patternFill>
      </fill>
    </dxf>
  </rfmt>
  <rfmt sheetId="8" sqref="AD43" start="0" length="0">
    <dxf>
      <fill>
        <patternFill patternType="none">
          <bgColor indexed="65"/>
        </patternFill>
      </fill>
    </dxf>
  </rfmt>
  <rfmt sheetId="8" sqref="AC44" start="0" length="0">
    <dxf>
      <numFmt numFmtId="0" formatCode="General"/>
      <fill>
        <patternFill patternType="none">
          <bgColor indexed="65"/>
        </patternFill>
      </fill>
    </dxf>
  </rfmt>
  <rfmt sheetId="8" sqref="AD44" start="0" length="0">
    <dxf>
      <fill>
        <patternFill patternType="none">
          <bgColor indexed="65"/>
        </patternFill>
      </fill>
    </dxf>
  </rfmt>
  <rfmt sheetId="8" sqref="AC45" start="0" length="0">
    <dxf>
      <numFmt numFmtId="0" formatCode="General"/>
      <fill>
        <patternFill patternType="none">
          <bgColor indexed="65"/>
        </patternFill>
      </fill>
    </dxf>
  </rfmt>
  <rfmt sheetId="8" sqref="AD45" start="0" length="0">
    <dxf>
      <fill>
        <patternFill patternType="none">
          <bgColor indexed="65"/>
        </patternFill>
      </fill>
    </dxf>
  </rfmt>
  <rfmt sheetId="8" sqref="AC46" start="0" length="0">
    <dxf>
      <numFmt numFmtId="0" formatCode="General"/>
      <fill>
        <patternFill patternType="none">
          <bgColor indexed="65"/>
        </patternFill>
      </fill>
    </dxf>
  </rfmt>
  <rfmt sheetId="8" sqref="AD46" start="0" length="0">
    <dxf>
      <fill>
        <patternFill patternType="none">
          <bgColor indexed="65"/>
        </patternFill>
      </fill>
    </dxf>
  </rfmt>
  <rfmt sheetId="8" sqref="AC47" start="0" length="0">
    <dxf>
      <numFmt numFmtId="0" formatCode="General"/>
      <fill>
        <patternFill patternType="none">
          <bgColor indexed="65"/>
        </patternFill>
      </fill>
    </dxf>
  </rfmt>
  <rfmt sheetId="8" sqref="AD47" start="0" length="0">
    <dxf>
      <fill>
        <patternFill patternType="none">
          <bgColor indexed="65"/>
        </patternFill>
      </fill>
    </dxf>
  </rfmt>
  <rfmt sheetId="8" sqref="AC48" start="0" length="0">
    <dxf>
      <numFmt numFmtId="0" formatCode="General"/>
      <fill>
        <patternFill patternType="none">
          <bgColor indexed="65"/>
        </patternFill>
      </fill>
    </dxf>
  </rfmt>
  <rfmt sheetId="8" sqref="AD48" start="0" length="0">
    <dxf>
      <fill>
        <patternFill patternType="none">
          <bgColor indexed="65"/>
        </patternFill>
      </fill>
    </dxf>
  </rfmt>
  <rfmt sheetId="8" sqref="AC49" start="0" length="0">
    <dxf>
      <numFmt numFmtId="0" formatCode="General"/>
      <fill>
        <patternFill patternType="none">
          <bgColor indexed="65"/>
        </patternFill>
      </fill>
    </dxf>
  </rfmt>
  <rfmt sheetId="8" sqref="AD49" start="0" length="0">
    <dxf>
      <fill>
        <patternFill patternType="none">
          <bgColor indexed="65"/>
        </patternFill>
      </fill>
    </dxf>
  </rfmt>
  <rfmt sheetId="8" sqref="AC50" start="0" length="0">
    <dxf>
      <fill>
        <patternFill patternType="none">
          <bgColor indexed="65"/>
        </patternFill>
      </fill>
    </dxf>
  </rfmt>
  <rfmt sheetId="8" sqref="AD50" start="0" length="0">
    <dxf>
      <fill>
        <patternFill patternType="none">
          <bgColor indexed="65"/>
        </patternFill>
      </fill>
    </dxf>
  </rfmt>
  <rfmt sheetId="8" sqref="AC51" start="0" length="0">
    <dxf>
      <numFmt numFmtId="0" formatCode="General"/>
      <fill>
        <patternFill patternType="none">
          <bgColor indexed="65"/>
        </patternFill>
      </fill>
    </dxf>
  </rfmt>
  <rfmt sheetId="8" sqref="AD51" start="0" length="0">
    <dxf>
      <fill>
        <patternFill patternType="none">
          <bgColor indexed="65"/>
        </patternFill>
      </fill>
    </dxf>
  </rfmt>
  <rfmt sheetId="8" sqref="AC52" start="0" length="0">
    <dxf>
      <numFmt numFmtId="0" formatCode="General"/>
      <fill>
        <patternFill patternType="none">
          <bgColor indexed="65"/>
        </patternFill>
      </fill>
    </dxf>
  </rfmt>
  <rfmt sheetId="8" sqref="AD52" start="0" length="0">
    <dxf>
      <fill>
        <patternFill patternType="none">
          <bgColor indexed="65"/>
        </patternFill>
      </fill>
    </dxf>
  </rfmt>
  <rfmt sheetId="8" sqref="AC53" start="0" length="0">
    <dxf>
      <numFmt numFmtId="0" formatCode="General"/>
      <fill>
        <patternFill patternType="none">
          <bgColor indexed="65"/>
        </patternFill>
      </fill>
    </dxf>
  </rfmt>
  <rfmt sheetId="8" sqref="AD53" start="0" length="0">
    <dxf>
      <fill>
        <patternFill patternType="none">
          <bgColor indexed="65"/>
        </patternFill>
      </fill>
    </dxf>
  </rfmt>
  <rfmt sheetId="8" sqref="AC54" start="0" length="0">
    <dxf>
      <numFmt numFmtId="0" formatCode="General"/>
      <fill>
        <patternFill patternType="none">
          <bgColor indexed="65"/>
        </patternFill>
      </fill>
    </dxf>
  </rfmt>
  <rfmt sheetId="8" sqref="AD54" start="0" length="0">
    <dxf>
      <fill>
        <patternFill patternType="none">
          <bgColor indexed="65"/>
        </patternFill>
      </fill>
    </dxf>
  </rfmt>
  <rfmt sheetId="8" sqref="AC55" start="0" length="0">
    <dxf>
      <numFmt numFmtId="0" formatCode="General"/>
      <fill>
        <patternFill patternType="none">
          <bgColor indexed="65"/>
        </patternFill>
      </fill>
    </dxf>
  </rfmt>
  <rfmt sheetId="8" sqref="AD55" start="0" length="0">
    <dxf>
      <fill>
        <patternFill patternType="none">
          <bgColor indexed="65"/>
        </patternFill>
      </fill>
    </dxf>
  </rfmt>
  <rfmt sheetId="8" sqref="AC56" start="0" length="0">
    <dxf>
      <numFmt numFmtId="0" formatCode="General"/>
      <fill>
        <patternFill patternType="none">
          <bgColor indexed="65"/>
        </patternFill>
      </fill>
    </dxf>
  </rfmt>
  <rfmt sheetId="8" sqref="AD56" start="0" length="0">
    <dxf>
      <numFmt numFmtId="0" formatCode="General"/>
      <fill>
        <patternFill patternType="none">
          <bgColor indexed="65"/>
        </patternFill>
      </fill>
    </dxf>
  </rfmt>
  <rfmt sheetId="8" sqref="AC57" start="0" length="0">
    <dxf>
      <numFmt numFmtId="0" formatCode="General"/>
      <fill>
        <patternFill patternType="none">
          <bgColor indexed="65"/>
        </patternFill>
      </fill>
    </dxf>
  </rfmt>
  <rfmt sheetId="8" sqref="AD57" start="0" length="0">
    <dxf>
      <fill>
        <patternFill patternType="none">
          <bgColor indexed="65"/>
        </patternFill>
      </fill>
    </dxf>
  </rfmt>
  <rfmt sheetId="8" sqref="AC58" start="0" length="0">
    <dxf>
      <numFmt numFmtId="0" formatCode="General"/>
      <fill>
        <patternFill patternType="none">
          <bgColor indexed="65"/>
        </patternFill>
      </fill>
    </dxf>
  </rfmt>
  <rfmt sheetId="8" sqref="AD58" start="0" length="0">
    <dxf>
      <fill>
        <patternFill patternType="none">
          <bgColor indexed="65"/>
        </patternFill>
      </fill>
    </dxf>
  </rfmt>
  <rfmt sheetId="8" sqref="AC59" start="0" length="0">
    <dxf>
      <numFmt numFmtId="0" formatCode="General"/>
      <fill>
        <patternFill patternType="none">
          <bgColor indexed="65"/>
        </patternFill>
      </fill>
    </dxf>
  </rfmt>
  <rfmt sheetId="8" sqref="AD59" start="0" length="0">
    <dxf>
      <fill>
        <patternFill patternType="none">
          <bgColor indexed="65"/>
        </patternFill>
      </fill>
    </dxf>
  </rfmt>
  <rfmt sheetId="8" sqref="AC60" start="0" length="0">
    <dxf>
      <numFmt numFmtId="0" formatCode="General"/>
      <fill>
        <patternFill patternType="none">
          <bgColor indexed="65"/>
        </patternFill>
      </fill>
    </dxf>
  </rfmt>
  <rfmt sheetId="8" sqref="AD60" start="0" length="0">
    <dxf>
      <fill>
        <patternFill patternType="none">
          <bgColor indexed="65"/>
        </patternFill>
      </fill>
    </dxf>
  </rfmt>
  <rfmt sheetId="8" sqref="AC61" start="0" length="0">
    <dxf>
      <numFmt numFmtId="0" formatCode="General"/>
      <fill>
        <patternFill patternType="none">
          <bgColor indexed="65"/>
        </patternFill>
      </fill>
    </dxf>
  </rfmt>
  <rfmt sheetId="8" sqref="AD61" start="0" length="0">
    <dxf>
      <fill>
        <patternFill patternType="none">
          <bgColor indexed="65"/>
        </patternFill>
      </fill>
    </dxf>
  </rfmt>
  <rfmt sheetId="8" sqref="AC62" start="0" length="0">
    <dxf>
      <fill>
        <patternFill patternType="none">
          <bgColor indexed="65"/>
        </patternFill>
      </fill>
    </dxf>
  </rfmt>
  <rfmt sheetId="8" sqref="AD62" start="0" length="0">
    <dxf>
      <fill>
        <patternFill patternType="none">
          <bgColor indexed="65"/>
        </patternFill>
      </fill>
    </dxf>
  </rfmt>
  <rfmt sheetId="8" sqref="AC63" start="0" length="0">
    <dxf>
      <fill>
        <patternFill patternType="none">
          <bgColor indexed="65"/>
        </patternFill>
      </fill>
    </dxf>
  </rfmt>
  <rfmt sheetId="8" sqref="AD63" start="0" length="0">
    <dxf>
      <fill>
        <patternFill patternType="none">
          <bgColor indexed="65"/>
        </patternFill>
      </fill>
    </dxf>
  </rfmt>
  <rfmt sheetId="8" sqref="AC64" start="0" length="0">
    <dxf>
      <fill>
        <patternFill patternType="none">
          <bgColor indexed="65"/>
        </patternFill>
      </fill>
    </dxf>
  </rfmt>
  <rfmt sheetId="8" sqref="AD64" start="0" length="0">
    <dxf>
      <fill>
        <patternFill patternType="none">
          <bgColor indexed="65"/>
        </patternFill>
      </fill>
    </dxf>
  </rfmt>
  <rfmt sheetId="8" sqref="AC65" start="0" length="0">
    <dxf>
      <numFmt numFmtId="0" formatCode="General"/>
      <fill>
        <patternFill patternType="none">
          <bgColor indexed="65"/>
        </patternFill>
      </fill>
    </dxf>
  </rfmt>
  <rfmt sheetId="8" sqref="AD65" start="0" length="0">
    <dxf>
      <fill>
        <patternFill patternType="none">
          <bgColor indexed="65"/>
        </patternFill>
      </fill>
    </dxf>
  </rfmt>
  <rfmt sheetId="8" sqref="AC66" start="0" length="0">
    <dxf>
      <numFmt numFmtId="0" formatCode="General"/>
      <fill>
        <patternFill patternType="none">
          <bgColor indexed="65"/>
        </patternFill>
      </fill>
    </dxf>
  </rfmt>
  <rfmt sheetId="8" sqref="AD66" start="0" length="0">
    <dxf>
      <fill>
        <patternFill patternType="none">
          <bgColor indexed="65"/>
        </patternFill>
      </fill>
    </dxf>
  </rfmt>
  <rfmt sheetId="8" sqref="AC67" start="0" length="0">
    <dxf>
      <numFmt numFmtId="0" formatCode="General"/>
      <fill>
        <patternFill patternType="none">
          <bgColor indexed="65"/>
        </patternFill>
      </fill>
    </dxf>
  </rfmt>
  <rfmt sheetId="8" sqref="AD67" start="0" length="0">
    <dxf>
      <fill>
        <patternFill patternType="none">
          <bgColor indexed="65"/>
        </patternFill>
      </fill>
    </dxf>
  </rfmt>
  <rfmt sheetId="8" sqref="AC68" start="0" length="0">
    <dxf>
      <numFmt numFmtId="0" formatCode="General"/>
      <fill>
        <patternFill patternType="none">
          <bgColor indexed="65"/>
        </patternFill>
      </fill>
    </dxf>
  </rfmt>
  <rfmt sheetId="8" sqref="AD68" start="0" length="0">
    <dxf>
      <fill>
        <patternFill patternType="none">
          <bgColor indexed="65"/>
        </patternFill>
      </fill>
    </dxf>
  </rfmt>
  <rfmt sheetId="8" sqref="AC69" start="0" length="0">
    <dxf>
      <numFmt numFmtId="0" formatCode="General"/>
      <fill>
        <patternFill patternType="none">
          <bgColor indexed="65"/>
        </patternFill>
      </fill>
    </dxf>
  </rfmt>
  <rfmt sheetId="8" sqref="AD69" start="0" length="0">
    <dxf>
      <fill>
        <patternFill patternType="none">
          <bgColor indexed="65"/>
        </patternFill>
      </fill>
    </dxf>
  </rfmt>
  <rfmt sheetId="8" sqref="AC70" start="0" length="0">
    <dxf>
      <numFmt numFmtId="0" formatCode="General"/>
      <fill>
        <patternFill patternType="none">
          <bgColor indexed="65"/>
        </patternFill>
      </fill>
    </dxf>
  </rfmt>
  <rfmt sheetId="8" sqref="AD70" start="0" length="0">
    <dxf>
      <fill>
        <patternFill patternType="none">
          <bgColor indexed="65"/>
        </patternFill>
      </fill>
    </dxf>
  </rfmt>
  <rfmt sheetId="8" sqref="AC71" start="0" length="0">
    <dxf>
      <numFmt numFmtId="0" formatCode="General"/>
      <fill>
        <patternFill patternType="none">
          <bgColor indexed="65"/>
        </patternFill>
      </fill>
    </dxf>
  </rfmt>
  <rfmt sheetId="8" sqref="AD71" start="0" length="0">
    <dxf>
      <fill>
        <patternFill patternType="none">
          <bgColor indexed="65"/>
        </patternFill>
      </fill>
    </dxf>
  </rfmt>
  <rfmt sheetId="8" sqref="AC72" start="0" length="0">
    <dxf>
      <fill>
        <patternFill patternType="none">
          <bgColor indexed="65"/>
        </patternFill>
      </fill>
    </dxf>
  </rfmt>
  <rfmt sheetId="8" sqref="AD72" start="0" length="0">
    <dxf>
      <fill>
        <patternFill patternType="none">
          <bgColor indexed="65"/>
        </patternFill>
      </fill>
    </dxf>
  </rfmt>
  <rfmt sheetId="8" sqref="AC73" start="0" length="0">
    <dxf>
      <numFmt numFmtId="0" formatCode="General"/>
      <fill>
        <patternFill patternType="none">
          <bgColor indexed="65"/>
        </patternFill>
      </fill>
    </dxf>
  </rfmt>
  <rfmt sheetId="8" sqref="AD73" start="0" length="0">
    <dxf>
      <fill>
        <patternFill patternType="none">
          <bgColor indexed="65"/>
        </patternFill>
      </fill>
    </dxf>
  </rfmt>
  <rfmt sheetId="8" sqref="AC74" start="0" length="0">
    <dxf>
      <fill>
        <patternFill patternType="none">
          <bgColor indexed="65"/>
        </patternFill>
      </fill>
    </dxf>
  </rfmt>
  <rfmt sheetId="8" sqref="AD74" start="0" length="0">
    <dxf>
      <fill>
        <patternFill patternType="none">
          <bgColor indexed="65"/>
        </patternFill>
      </fill>
    </dxf>
  </rfmt>
  <rfmt sheetId="8" sqref="AC75" start="0" length="0">
    <dxf>
      <numFmt numFmtId="0" formatCode="General"/>
      <fill>
        <patternFill patternType="none">
          <bgColor indexed="65"/>
        </patternFill>
      </fill>
    </dxf>
  </rfmt>
  <rfmt sheetId="8" sqref="AD75" start="0" length="0">
    <dxf>
      <fill>
        <patternFill patternType="none">
          <bgColor indexed="65"/>
        </patternFill>
      </fill>
    </dxf>
  </rfmt>
  <rfmt sheetId="8" sqref="AC76" start="0" length="0">
    <dxf>
      <fill>
        <patternFill patternType="none">
          <bgColor indexed="65"/>
        </patternFill>
      </fill>
    </dxf>
  </rfmt>
  <rfmt sheetId="8" sqref="AD76" start="0" length="0">
    <dxf>
      <fill>
        <patternFill patternType="none">
          <bgColor indexed="65"/>
        </patternFill>
      </fill>
    </dxf>
  </rfmt>
  <rcc rId="324" sId="8">
    <oc r="AC42">
      <f>AA42-Bilans!C5</f>
    </oc>
    <nc r="AC42"/>
  </rcc>
  <rcc rId="325" sId="8">
    <oc r="AC43">
      <f>AA43-Bilans!C6</f>
    </oc>
    <nc r="AC43"/>
  </rcc>
  <rcc rId="326" sId="8">
    <oc r="AC44">
      <f>AA44-Bilans!C7-Bilans!C8</f>
    </oc>
    <nc r="AC44"/>
  </rcc>
  <rcc rId="327" sId="8">
    <oc r="AC45">
      <f>AA45-Bilans!C9</f>
    </oc>
    <nc r="AC45"/>
  </rcc>
  <rcc rId="328" sId="8">
    <oc r="AC46">
      <f>AA46-Bilans!C10-Bilans!C11</f>
    </oc>
    <nc r="AC46"/>
  </rcc>
  <rcc rId="329" sId="8">
    <oc r="AC47">
      <f>AA47-Bilans!C12</f>
    </oc>
    <nc r="AC47"/>
  </rcc>
  <rcc rId="330" sId="8">
    <oc r="AC48">
      <f>AA48-Bilans!C13</f>
    </oc>
    <nc r="AC48"/>
  </rcc>
  <rcc rId="331" sId="8">
    <oc r="AC49">
      <f>AA49-Bilans!C14</f>
    </oc>
    <nc r="AC49"/>
  </rcc>
  <rcc rId="332" sId="8">
    <oc r="AC51">
      <f>AA51-Bilans!C16</f>
    </oc>
    <nc r="AC51"/>
  </rcc>
  <rcc rId="333" sId="8">
    <oc r="AC52">
      <f>AA52-Bilans!C17</f>
    </oc>
    <nc r="AC52"/>
  </rcc>
  <rcc rId="334" sId="8">
    <oc r="AC56">
      <f>AA53+AA54+AA55+AA56-Bilans!C18-Bilans!C19-Bilans!C20-Bilans!C21</f>
    </oc>
    <nc r="AC56"/>
  </rcc>
  <rcc rId="335" sId="8">
    <oc r="AC57">
      <f>AA57-Bilans!C22</f>
    </oc>
    <nc r="AC57"/>
  </rcc>
  <rcc rId="336" sId="8">
    <oc r="AC58">
      <f>AA58-Bilans!C23</f>
    </oc>
    <nc r="AC58"/>
  </rcc>
  <rcc rId="337" sId="8">
    <oc r="AC59">
      <f>AA59-Bilans!C24</f>
    </oc>
    <nc r="AC59"/>
  </rcc>
  <rcc rId="338" sId="8">
    <oc r="AC61">
      <f>AA61-Bilans!C26</f>
    </oc>
    <nc r="AC61"/>
  </rcc>
  <rcc rId="339" sId="8">
    <oc r="AC65">
      <f>AA65-Bilans!C30</f>
    </oc>
    <nc r="AC65"/>
  </rcc>
  <rcc rId="340" sId="8">
    <oc r="AC66">
      <f>AA66-Bilans!C31</f>
    </oc>
    <nc r="AC66"/>
  </rcc>
  <rcc rId="341" sId="8">
    <oc r="AC67">
      <f>AA67-Bilans!C32</f>
    </oc>
    <nc r="AC67"/>
  </rcc>
  <rcc rId="342" sId="8">
    <oc r="AC68">
      <f>AA68</f>
    </oc>
    <nc r="AC68"/>
  </rcc>
  <rcc rId="343" sId="8">
    <oc r="AC69">
      <f>AA69-Bilans!C33</f>
    </oc>
    <nc r="AC69"/>
  </rcc>
  <rcc rId="344" sId="8">
    <oc r="AC70">
      <f>AA70-Bilans!C34</f>
    </oc>
    <nc r="AC70"/>
  </rcc>
  <rcc rId="345" sId="8">
    <oc r="AC71">
      <f>AA71-Bilans!C35</f>
    </oc>
    <nc r="AC71"/>
  </rcc>
  <rcc rId="346" sId="8">
    <oc r="AC73">
      <f>AA73-Bilans!C37</f>
    </oc>
    <nc r="AC73"/>
  </rcc>
  <rcc rId="347" sId="8">
    <oc r="AC75">
      <f>AA75-Bilans!C39</f>
    </oc>
    <nc r="AC75"/>
  </rcc>
  <rfmt sheetId="8" sqref="AC41:AD76">
    <dxf>
      <fill>
        <patternFill patternType="solid">
          <bgColor theme="0"/>
        </patternFill>
      </fill>
    </dxf>
  </rfmt>
  <rfmt sheetId="8" sqref="AC78" start="0" length="0">
    <dxf>
      <numFmt numFmtId="0" formatCode="General"/>
      <fill>
        <patternFill patternType="none">
          <bgColor indexed="65"/>
        </patternFill>
      </fill>
    </dxf>
  </rfmt>
  <rcc rId="348" sId="8" odxf="1" dxf="1">
    <oc r="AC79">
      <f>AA78+AA79-Bilans!C42</f>
    </oc>
    <nc r="AC79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8" sqref="AC80" start="0" length="0">
    <dxf>
      <numFmt numFmtId="0" formatCode="General"/>
      <fill>
        <patternFill patternType="none">
          <bgColor indexed="65"/>
        </patternFill>
      </fill>
    </dxf>
  </rfmt>
  <rcc rId="349" sId="8" odxf="1" dxf="1">
    <oc r="AC81">
      <f>AA80+AA81-Bilans!C47</f>
    </oc>
    <nc r="AC81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350" sId="8" odxf="1" dxf="1">
    <oc r="AC82">
      <f>AA82-Bilans!C43</f>
    </oc>
    <nc r="AC82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351" sId="8" odxf="1" dxf="1">
    <oc r="AC83">
      <f>AA83-Bilans!C44</f>
    </oc>
    <nc r="AC83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352" sId="8" odxf="1" dxf="1">
    <oc r="AC84">
      <f>AA84-Bilans!C45</f>
    </oc>
    <nc r="AC84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353" sId="8" odxf="1" dxf="1">
    <oc r="AC85">
      <f>AA85-Bilans!C46</f>
    </oc>
    <nc r="AC85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354" sId="8" odxf="1" dxf="1">
    <oc r="AC86">
      <f>AA86-Bilans!C48</f>
    </oc>
    <nc r="AC86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8" sqref="AC87" start="0" length="0">
    <dxf>
      <fill>
        <patternFill patternType="none">
          <bgColor indexed="65"/>
        </patternFill>
      </fill>
    </dxf>
  </rfmt>
  <rfmt sheetId="8" sqref="AC88" start="0" length="0">
    <dxf>
      <numFmt numFmtId="0" formatCode="General"/>
      <fill>
        <patternFill patternType="none">
          <bgColor indexed="65"/>
        </patternFill>
      </fill>
    </dxf>
  </rfmt>
  <rcc rId="355" sId="8" odxf="1" dxf="1">
    <oc r="AC89">
      <f>AA88+AA89-Bilans!C50</f>
    </oc>
    <nc r="AC89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356" sId="8" odxf="1" dxf="1">
    <oc r="AC90">
      <f>AA90-Bilans!C52-Bilans!C53-Bilans!C59</f>
    </oc>
    <nc r="AC90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357" sId="8" odxf="1" dxf="1">
    <oc r="AC91">
      <f>AA91-Bilans!C51</f>
    </oc>
    <nc r="AC91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358" sId="8" odxf="1" dxf="1">
    <oc r="AC92">
      <f>AA92-Bilans!C54</f>
    </oc>
    <nc r="AC92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359" sId="8" odxf="1" dxf="1">
    <oc r="AC93">
      <f>AA93-Bilans!C55-Bilans!C56</f>
    </oc>
    <nc r="AC93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360" sId="8" odxf="1" dxf="1">
    <oc r="AC94">
      <f>AA94-Bilans!C57</f>
    </oc>
    <nc r="AC94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8" sqref="AC95" start="0" length="0">
    <dxf>
      <numFmt numFmtId="0" formatCode="General"/>
      <fill>
        <patternFill patternType="none">
          <bgColor indexed="65"/>
        </patternFill>
      </fill>
    </dxf>
  </rfmt>
  <rcc rId="361" sId="8" odxf="1" dxf="1">
    <oc r="AC96">
      <f>AA95+AA96-Bilans!C58-Bilans!C60</f>
    </oc>
    <nc r="AC96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362" sId="8" odxf="1" dxf="1">
    <oc r="AC97">
      <f>AA97</f>
    </oc>
    <nc r="AC97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363" sId="8" odxf="1" dxf="1">
    <oc r="AC98">
      <f>AA98-Bilans!C61</f>
    </oc>
    <nc r="AC98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8" sqref="AC99" start="0" length="0">
    <dxf>
      <fill>
        <patternFill patternType="none">
          <bgColor indexed="65"/>
        </patternFill>
      </fill>
    </dxf>
  </rfmt>
  <rcc rId="364" sId="8" odxf="1" dxf="1">
    <oc r="AC100">
      <f>AA100-Bilans!C63</f>
    </oc>
    <nc r="AC100"/>
    <odxf>
      <numFmt numFmtId="164" formatCode="#,##0_);[Red]\(#,##0\)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8" sqref="AC101" start="0" length="0">
    <dxf>
      <fill>
        <patternFill patternType="none">
          <bgColor indexed="65"/>
        </patternFill>
      </fill>
    </dxf>
  </rfmt>
  <rcc rId="365" sId="8" odxf="1" dxf="1">
    <oc r="AC102">
      <f>AA102-Bilans!C65</f>
    </oc>
    <nc r="AC102"/>
    <odxf>
      <numFmt numFmtId="164" formatCode="#,##0_);[Red]\(#,##0\)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8" sqref="AC77:AC102">
    <dxf>
      <fill>
        <patternFill>
          <bgColor theme="0"/>
        </patternFill>
      </fill>
    </dxf>
  </rfmt>
  <rcc rId="366" sId="8" odxf="1" dxf="1">
    <oc r="AA107">
      <v>32675</v>
    </oc>
    <nc r="AA107">
      <f>32675-Z107</f>
    </nc>
    <ndxf>
      <font>
        <sz val="10"/>
        <color rgb="FF4B4B4B"/>
        <name val="Arial"/>
        <scheme val="none"/>
      </font>
      <numFmt numFmtId="164" formatCode="#,##0_);[Red]\(#,##0\)"/>
    </ndxf>
  </rcc>
  <rcc rId="367" sId="8" numFmtId="4">
    <oc r="AA109">
      <v>-59861</v>
    </oc>
    <nc r="AA109">
      <f>-59861-Z109</f>
    </nc>
  </rcc>
  <rcc rId="368" sId="8" numFmtId="4">
    <oc r="AA110">
      <v>821372</v>
    </oc>
    <nc r="AA110">
      <f>821372-Z110</f>
    </nc>
  </rcc>
  <rcc rId="369" sId="8" numFmtId="4">
    <oc r="AA111">
      <v>28369</v>
    </oc>
    <nc r="AA111">
      <f>28369-Z111</f>
    </nc>
  </rcc>
  <rcc rId="370" sId="8" numFmtId="4">
    <oc r="AA112">
      <v>126386</v>
    </oc>
    <nc r="AA112">
      <f>126386-Z112</f>
    </nc>
  </rcc>
  <rcc rId="371" sId="8" numFmtId="4">
    <oc r="AA114">
      <v>29916</v>
    </oc>
    <nc r="AA114">
      <f>29916-Z114</f>
    </nc>
  </rcc>
  <rcc rId="372" sId="8" numFmtId="4">
    <oc r="AA115">
      <v>27672</v>
    </oc>
    <nc r="AA115">
      <f>27672-Z115</f>
    </nc>
  </rcc>
  <rcc rId="373" sId="8" numFmtId="4">
    <oc r="AA116">
      <v>-310295</v>
    </oc>
    <nc r="AA116">
      <f>-310295-Z116</f>
    </nc>
  </rcc>
  <rcc rId="374" sId="8" numFmtId="4">
    <oc r="AA117">
      <v>760141</v>
    </oc>
    <nc r="AA117">
      <f>760141-Z117</f>
    </nc>
  </rcc>
  <rcc rId="375" sId="8" numFmtId="4">
    <oc r="AA118">
      <v>11428</v>
    </oc>
    <nc r="AA118">
      <f>11428-Z118</f>
    </nc>
  </rcc>
  <rcc rId="376" sId="8" numFmtId="4">
    <oc r="AA119">
      <v>-512076</v>
    </oc>
    <nc r="AA119">
      <f>-512076-Z119</f>
    </nc>
  </rcc>
  <rcc rId="377" sId="8" numFmtId="4">
    <oc r="AA120">
      <v>-219387</v>
    </oc>
    <nc r="AA120">
      <f>-219387-Z120</f>
    </nc>
  </rcc>
  <rcc rId="378" sId="8" numFmtId="4">
    <oc r="AA121">
      <v>-1515</v>
    </oc>
    <nc r="AA121">
      <f>-1515-Z121</f>
    </nc>
  </rcc>
  <rcc rId="379" sId="8" numFmtId="4">
    <oc r="AA122">
      <v>1417171</v>
    </oc>
    <nc r="AA122">
      <f>SUM(AA107:AA121)</f>
    </nc>
  </rcc>
  <rcc rId="380" sId="8">
    <nc r="AA113">
      <f>898270-215924-Z113</f>
    </nc>
  </rcc>
  <rfmt sheetId="8" sqref="AA113">
    <dxf>
      <fill>
        <patternFill>
          <bgColor theme="0"/>
        </patternFill>
      </fill>
    </dxf>
  </rfmt>
  <rcc rId="381" sId="8" odxf="1" dxf="1">
    <oc r="AC107">
      <f>AA107-'Rach. przepływów pieniężnych'!C4</f>
    </oc>
    <nc r="AC107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8" sqref="AC108" start="0" length="0">
    <dxf>
      <fill>
        <patternFill patternType="none">
          <bgColor indexed="65"/>
        </patternFill>
      </fill>
    </dxf>
  </rfmt>
  <rcc rId="382" sId="8" odxf="1" dxf="1">
    <oc r="AC109">
      <f>AA109-'Rach. przepływów pieniężnych'!C5</f>
    </oc>
    <nc r="AC109"/>
    <odxf>
      <numFmt numFmtId="164" formatCode="#,##0_);[Red]\(#,##0\)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383" sId="8" odxf="1" dxf="1">
    <oc r="AC110">
      <f>AA110-'Rach. przepływów pieniężnych'!C6</f>
    </oc>
    <nc r="AC110"/>
    <odxf>
      <numFmt numFmtId="164" formatCode="#,##0_);[Red]\(#,##0\)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384" sId="8" odxf="1" dxf="1">
    <oc r="AC111">
      <f>AA111</f>
    </oc>
    <nc r="AC111"/>
    <odxf>
      <numFmt numFmtId="164" formatCode="#,##0_);[Red]\(#,##0\)"/>
      <fill>
        <patternFill patternType="solid">
          <bgColor rgb="FFFFFF00"/>
        </patternFill>
      </fill>
    </odxf>
    <ndxf>
      <numFmt numFmtId="0" formatCode="General"/>
      <fill>
        <patternFill patternType="none">
          <bgColor indexed="65"/>
        </patternFill>
      </fill>
    </ndxf>
  </rcc>
  <rcc rId="385" sId="8" odxf="1" dxf="1">
    <oc r="AC112">
      <f>AA112</f>
    </oc>
    <nc r="AC112"/>
    <odxf>
      <numFmt numFmtId="164" formatCode="#,##0_);[Red]\(#,##0\)"/>
      <fill>
        <patternFill patternType="solid">
          <bgColor rgb="FFFFFF00"/>
        </patternFill>
      </fill>
    </odxf>
    <ndxf>
      <numFmt numFmtId="0" formatCode="General"/>
      <fill>
        <patternFill patternType="none">
          <bgColor indexed="65"/>
        </patternFill>
      </fill>
    </ndxf>
  </rcc>
  <rcc rId="386" sId="8" odxf="1" dxf="1">
    <oc r="AC113">
      <f>AA113</f>
    </oc>
    <nc r="AC113"/>
    <odxf>
      <numFmt numFmtId="164" formatCode="#,##0_);[Red]\(#,##0\)"/>
      <fill>
        <patternFill patternType="solid">
          <bgColor rgb="FFFFFF00"/>
        </patternFill>
      </fill>
    </odxf>
    <ndxf>
      <numFmt numFmtId="0" formatCode="General"/>
      <fill>
        <patternFill patternType="none">
          <bgColor indexed="65"/>
        </patternFill>
      </fill>
    </ndxf>
  </rcc>
  <rfmt sheetId="8" sqref="AC114" start="0" length="0">
    <dxf>
      <numFmt numFmtId="0" formatCode="General"/>
      <fill>
        <patternFill patternType="none">
          <bgColor indexed="65"/>
        </patternFill>
      </fill>
    </dxf>
  </rfmt>
  <rfmt sheetId="8" sqref="AC115" start="0" length="0">
    <dxf>
      <numFmt numFmtId="0" formatCode="General"/>
      <fill>
        <patternFill patternType="none">
          <bgColor indexed="65"/>
        </patternFill>
      </fill>
    </dxf>
  </rfmt>
  <rfmt sheetId="8" sqref="AC116" start="0" length="0">
    <dxf>
      <numFmt numFmtId="0" formatCode="General"/>
      <fill>
        <patternFill patternType="none">
          <bgColor indexed="65"/>
        </patternFill>
      </fill>
    </dxf>
  </rfmt>
  <rfmt sheetId="8" sqref="AC117" start="0" length="0">
    <dxf>
      <numFmt numFmtId="0" formatCode="General"/>
      <fill>
        <patternFill patternType="none">
          <bgColor indexed="65"/>
        </patternFill>
      </fill>
    </dxf>
  </rfmt>
  <rfmt sheetId="8" sqref="AC118" start="0" length="0">
    <dxf>
      <numFmt numFmtId="0" formatCode="General"/>
      <fill>
        <patternFill patternType="none">
          <bgColor indexed="65"/>
        </patternFill>
      </fill>
    </dxf>
  </rfmt>
  <rcc rId="387" sId="8" odxf="1" dxf="1">
    <oc r="AC119">
      <f>AA114+AA115+AA116+AA117+AA118+AA119-'Rach. przepływów pieniężnych'!C10</f>
    </oc>
    <nc r="AC119"/>
    <odxf>
      <numFmt numFmtId="164" formatCode="#,##0_);[Red]\(#,##0\)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388" sId="8" odxf="1" dxf="1">
    <oc r="AC120">
      <f>AA120-'Rach. przepływów pieniężnych'!C11</f>
    </oc>
    <nc r="AC120"/>
    <odxf>
      <numFmt numFmtId="164" formatCode="#,##0_);[Red]\(#,##0\)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389" sId="8" odxf="1" dxf="1">
    <oc r="AC121">
      <f>AA121</f>
    </oc>
    <nc r="AC121"/>
    <odxf>
      <numFmt numFmtId="164" formatCode="#,##0_);[Red]\(#,##0\)"/>
      <fill>
        <patternFill patternType="solid">
          <bgColor rgb="FFFFFF00"/>
        </patternFill>
      </fill>
    </odxf>
    <ndxf>
      <numFmt numFmtId="0" formatCode="General"/>
      <fill>
        <patternFill patternType="none">
          <bgColor indexed="65"/>
        </patternFill>
      </fill>
    </ndxf>
  </rcc>
  <rcc rId="390" sId="8" odxf="1" dxf="1">
    <oc r="AC122">
      <f>AA122-'Rach. przepływów pieniężnych'!C12</f>
    </oc>
    <nc r="AC122"/>
    <odxf>
      <numFmt numFmtId="164" formatCode="#,##0_);[Red]\(#,##0\)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8" sqref="AC123" start="0" length="0">
    <dxf>
      <fill>
        <patternFill patternType="none">
          <bgColor indexed="65"/>
        </patternFill>
      </fill>
    </dxf>
  </rfmt>
  <rfmt sheetId="8" sqref="AC107:AC123">
    <dxf>
      <fill>
        <patternFill patternType="solid">
          <bgColor theme="0"/>
        </patternFill>
      </fill>
    </dxf>
  </rfmt>
  <rcc rId="391" sId="8" numFmtId="4">
    <oc r="AA124">
      <v>15403</v>
    </oc>
    <nc r="AA124">
      <f>15403-Z124</f>
    </nc>
  </rcc>
  <rcc rId="392" sId="8" numFmtId="4">
    <oc r="AA125">
      <v>-1769630</v>
    </oc>
    <nc r="AA125">
      <f>-1769630-Z125</f>
    </nc>
  </rcc>
  <rcc rId="393" sId="8" numFmtId="4">
    <oc r="AA129">
      <v>-29534</v>
    </oc>
    <nc r="AA129">
      <f>-29534-Z129</f>
    </nc>
  </rcc>
  <rcc rId="394" sId="8" numFmtId="4">
    <oc r="AA135">
      <v>-7600</v>
    </oc>
    <nc r="AA135">
      <f>-7600-Z135</f>
    </nc>
  </rcc>
  <rcmt sheetId="8" cell="AA127" guid="{00000000-0000-0000-0000-000000000000}" action="delete" author="Otto Sonia"/>
  <rcc rId="395" sId="8" odxf="1" dxf="1">
    <nc r="AA136">
      <f>-131077</f>
    </nc>
    <ndxf>
      <numFmt numFmtId="164" formatCode="#,##0_);[Red]\(#,##0\)"/>
    </ndxf>
  </rcc>
  <rcc rId="396" sId="8" numFmtId="4">
    <oc r="AA137">
      <v>-1773295</v>
    </oc>
    <nc r="AA137">
      <f>SUM(AA124:AA136)</f>
    </nc>
  </rcc>
  <rcc rId="397" sId="8" numFmtId="4">
    <oc r="AA133">
      <v>357</v>
    </oc>
    <nc r="AA133">
      <f>357-Z133</f>
    </nc>
  </rcc>
  <rcc rId="398" sId="8">
    <oc r="AA127">
      <v>11117</v>
    </oc>
    <nc r="AA127">
      <f>11116-Z127+1</f>
    </nc>
  </rcc>
  <rcc rId="399" sId="8">
    <oc r="AC124">
      <f>AA124-'Rach. przepływów pieniężnych'!C19</f>
    </oc>
    <nc r="AC124"/>
  </rcc>
  <rcc rId="400" sId="8">
    <oc r="AC125">
      <f>AA125-'Rach. przepływów pieniężnych'!C14</f>
    </oc>
    <nc r="AC125"/>
  </rcc>
  <rcc rId="401" sId="8">
    <oc r="AC126">
      <f>AA126</f>
    </oc>
    <nc r="AC126"/>
  </rcc>
  <rcc rId="402" sId="8">
    <oc r="AC127">
      <f>AA127</f>
    </oc>
    <nc r="AC127"/>
  </rcc>
  <rcc rId="403" sId="8">
    <oc r="AC128">
      <f>AA128</f>
    </oc>
    <nc r="AC128"/>
  </rcc>
  <rcc rId="404" sId="8">
    <oc r="AC129">
      <f>AA129-'Rach. przepływów pieniężnych'!C16</f>
    </oc>
    <nc r="AC129"/>
  </rcc>
  <rcc rId="405" sId="8">
    <oc r="AC130">
      <f>AA130</f>
    </oc>
    <nc r="AC130"/>
  </rcc>
  <rcc rId="406" sId="8">
    <oc r="AC131">
      <f>AA131</f>
    </oc>
    <nc r="AC131"/>
  </rcc>
  <rcc rId="407" sId="8">
    <oc r="AC132">
      <f>AA132</f>
    </oc>
    <nc r="AC132"/>
  </rcc>
  <rcc rId="408" sId="8">
    <oc r="AC133">
      <f>AA133</f>
    </oc>
    <nc r="AC133"/>
  </rcc>
  <rcc rId="409" sId="8">
    <oc r="AD133">
      <f>AC127+AC132+AC133-'Rach. przepływów pieniężnych'!C22</f>
    </oc>
    <nc r="AD133"/>
  </rcc>
  <rcc rId="410" sId="8">
    <oc r="AC134">
      <f>AA134</f>
    </oc>
    <nc r="AC134"/>
  </rcc>
  <rcc rId="411" sId="8">
    <oc r="AC135">
      <f>AA135-'Rach. przepływów pieniężnych'!C17</f>
    </oc>
    <nc r="AC135"/>
  </rcc>
  <rcc rId="412" sId="8">
    <oc r="AC136">
      <f>AA136</f>
    </oc>
    <nc r="AC136"/>
  </rcc>
  <rcc rId="413" sId="8">
    <oc r="AC137">
      <f>AA137-'Rach. przepływów pieniężnych'!C24</f>
    </oc>
    <nc r="AC137"/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4" sId="9">
    <oc r="N21">
      <f>'Hist. dane kwartalne'!Z21+'Hist. dane kwartalne'!AA21</f>
    </oc>
    <nc r="N21"/>
  </rcc>
  <rfmt sheetId="9" sqref="R19:R23">
    <dxf>
      <fill>
        <patternFill>
          <bgColor theme="0"/>
        </patternFill>
      </fill>
    </dxf>
  </rfmt>
  <rfmt sheetId="9" sqref="R19:AP25">
    <dxf>
      <fill>
        <patternFill>
          <bgColor theme="0"/>
        </patternFill>
      </fill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5" sId="8" numFmtId="4">
    <oc r="AA139">
      <v>-8008</v>
    </oc>
    <nc r="AA139">
      <f>-8008-Z139</f>
    </nc>
  </rcc>
  <rcc rId="416" sId="8" numFmtId="4">
    <oc r="AA140">
      <v>916</v>
    </oc>
    <nc r="AA140">
      <f>916-Z140</f>
    </nc>
  </rcc>
  <rcc rId="417" sId="8" numFmtId="4">
    <oc r="AA141">
      <v>-44724</v>
    </oc>
    <nc r="AA141">
      <f>-44724-Z141</f>
    </nc>
  </rcc>
  <rcc rId="418" sId="8" odxf="1" dxf="1">
    <oc r="AA142">
      <v>2860000</v>
    </oc>
    <nc r="AA142">
      <f>2860000-Z142</f>
    </nc>
    <ndxf>
      <font>
        <sz val="10"/>
        <color rgb="FF4B4B4B"/>
        <name val="Arial"/>
        <scheme val="none"/>
      </font>
      <numFmt numFmtId="170" formatCode="_-* #,##0.00&quot;   &quot;;[Red]\(#,##0.00\)&quot;  &quot;;&quot;-   &quot;"/>
    </ndxf>
  </rcc>
  <rcc rId="419" sId="8" odxf="1" dxf="1">
    <oc r="AA143">
      <v>-2250000</v>
    </oc>
    <nc r="AA143">
      <f>-2250000-Z143</f>
    </nc>
    <ndxf>
      <numFmt numFmtId="170" formatCode="_-* #,##0.00&quot;   &quot;;[Red]\(#,##0.00\)&quot;  &quot;;&quot;-   &quot;"/>
    </ndxf>
  </rcc>
  <rcc rId="420" sId="8" odxf="1" dxf="1" numFmtId="34">
    <oc r="AA144">
      <v>-1</v>
    </oc>
    <nc r="AA144">
      <v>0</v>
    </nc>
    <ndxf>
      <numFmt numFmtId="170" formatCode="_-* #,##0.00&quot;   &quot;;[Red]\(#,##0.00\)&quot;  &quot;;&quot;-   &quot;"/>
    </ndxf>
  </rcc>
  <rcc rId="421" sId="8" numFmtId="4">
    <oc r="AA146">
      <v>-117339</v>
    </oc>
    <nc r="AA146">
      <f>-117339-Z146</f>
    </nc>
  </rcc>
  <rcc rId="422" sId="8" numFmtId="4">
    <oc r="AA149">
      <v>322382</v>
    </oc>
    <nc r="AA149">
      <f>SUM(AA139:AA148)</f>
    </nc>
  </rcc>
  <rfmt sheetId="8" sqref="Z139:AA139">
    <dxf>
      <fill>
        <patternFill>
          <bgColor theme="5" tint="0.39997558519241921"/>
        </patternFill>
      </fill>
    </dxf>
  </rfmt>
  <rfmt sheetId="8" sqref="Z140:AA140">
    <dxf>
      <fill>
        <patternFill>
          <bgColor theme="5" tint="0.39997558519241921"/>
        </patternFill>
      </fill>
    </dxf>
  </rfmt>
  <rfmt sheetId="8" sqref="Z141:AA141">
    <dxf>
      <fill>
        <patternFill>
          <bgColor theme="5" tint="0.39997558519241921"/>
        </patternFill>
      </fill>
    </dxf>
  </rfmt>
  <rfmt sheetId="8" sqref="Z142:AA143">
    <dxf>
      <fill>
        <patternFill>
          <bgColor theme="5" tint="0.39997558519241921"/>
        </patternFill>
      </fill>
    </dxf>
  </rfmt>
  <rfmt sheetId="8" sqref="Z144:AA144">
    <dxf>
      <fill>
        <patternFill>
          <bgColor theme="5" tint="0.39997558519241921"/>
        </patternFill>
      </fill>
    </dxf>
  </rfmt>
  <rfmt sheetId="8" sqref="Z145:AA145">
    <dxf>
      <fill>
        <patternFill>
          <bgColor theme="5" tint="0.39997558519241921"/>
        </patternFill>
      </fill>
    </dxf>
  </rfmt>
  <rfmt sheetId="8" sqref="Z146:AA146">
    <dxf>
      <fill>
        <patternFill>
          <bgColor theme="5" tint="0.39997558519241921"/>
        </patternFill>
      </fill>
    </dxf>
  </rfmt>
  <rfmt sheetId="8" sqref="Z147:AA147">
    <dxf>
      <fill>
        <patternFill>
          <bgColor theme="5" tint="0.39997558519241921"/>
        </patternFill>
      </fill>
    </dxf>
  </rfmt>
  <rcc rId="423" sId="8">
    <oc r="AA148">
      <v>-115939</v>
    </oc>
    <nc r="AA148">
      <f>15137-Z148</f>
    </nc>
  </rcc>
  <rfmt sheetId="8" sqref="Z139:AA148">
    <dxf>
      <fill>
        <patternFill>
          <bgColor theme="0"/>
        </patternFill>
      </fill>
    </dxf>
  </rfmt>
  <rcc rId="424" sId="8" odxf="1" dxf="1">
    <oc r="AC139">
      <f>AA139</f>
    </oc>
    <nc r="AC139"/>
    <odxf>
      <numFmt numFmtId="164" formatCode="#,##0_);[Red]\(#,##0\)"/>
      <fill>
        <patternFill patternType="solid">
          <bgColor rgb="FFFFFF00"/>
        </patternFill>
      </fill>
    </odxf>
    <ndxf>
      <numFmt numFmtId="0" formatCode="General"/>
      <fill>
        <patternFill patternType="none">
          <bgColor indexed="65"/>
        </patternFill>
      </fill>
    </ndxf>
  </rcc>
  <rcc rId="425" sId="8" odxf="1" dxf="1">
    <oc r="AC140">
      <f>AA140-'Rach. przepływów pieniężnych'!C32</f>
    </oc>
    <nc r="AC140"/>
    <odxf>
      <numFmt numFmtId="164" formatCode="#,##0_);[Red]\(#,##0\)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426" sId="8" odxf="1" dxf="1">
    <oc r="AC141">
      <f>AA141-'Rach. przepływów pieniężnych'!C27</f>
    </oc>
    <nc r="AC141"/>
    <odxf>
      <numFmt numFmtId="164" formatCode="#,##0_);[Red]\(#,##0\)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427" sId="8" odxf="1" dxf="1">
    <oc r="AC142">
      <f>AA142-'Rach. przepływów pieniężnych'!C31</f>
    </oc>
    <nc r="AC142"/>
    <odxf>
      <numFmt numFmtId="164" formatCode="#,##0_);[Red]\(#,##0\)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428" sId="8" odxf="1" dxf="1">
    <oc r="AC143">
      <f>AA143-'Rach. przepływów pieniężnych'!C26</f>
    </oc>
    <nc r="AC143"/>
    <odxf>
      <numFmt numFmtId="164" formatCode="#,##0_);[Red]\(#,##0\)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429" sId="8" odxf="1" dxf="1">
    <oc r="AC144">
      <f>AA144</f>
    </oc>
    <nc r="AC144"/>
    <odxf>
      <numFmt numFmtId="164" formatCode="#,##0_);[Red]\(#,##0\)"/>
      <fill>
        <patternFill patternType="solid">
          <bgColor rgb="FFFFFF00"/>
        </patternFill>
      </fill>
    </odxf>
    <ndxf>
      <numFmt numFmtId="0" formatCode="General"/>
      <fill>
        <patternFill patternType="none">
          <bgColor indexed="65"/>
        </patternFill>
      </fill>
    </ndxf>
  </rcc>
  <rcc rId="430" sId="8" odxf="1" dxf="1">
    <oc r="AC145">
      <f>AA145</f>
    </oc>
    <nc r="AC145"/>
    <odxf>
      <numFmt numFmtId="164" formatCode="#,##0_);[Red]\(#,##0\)"/>
      <fill>
        <patternFill patternType="solid">
          <bgColor rgb="FFFFFF00"/>
        </patternFill>
      </fill>
    </odxf>
    <ndxf>
      <numFmt numFmtId="0" formatCode="General"/>
      <fill>
        <patternFill patternType="none">
          <bgColor indexed="65"/>
        </patternFill>
      </fill>
    </ndxf>
  </rcc>
  <rcc rId="431" sId="8" odxf="1" dxf="1">
    <oc r="AC146">
      <f>AA146-'Rach. przepływów pieniężnych'!C28</f>
    </oc>
    <nc r="AC146"/>
    <odxf>
      <numFmt numFmtId="164" formatCode="#,##0_);[Red]\(#,##0\)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432" sId="8" odxf="1" dxf="1">
    <oc r="AC147">
      <f>AA147</f>
    </oc>
    <nc r="AC147"/>
    <odxf>
      <numFmt numFmtId="164" formatCode="#,##0_);[Red]\(#,##0\)"/>
      <fill>
        <patternFill patternType="solid">
          <bgColor rgb="FFFFFF00"/>
        </patternFill>
      </fill>
    </odxf>
    <ndxf>
      <numFmt numFmtId="0" formatCode="General"/>
      <fill>
        <patternFill patternType="none">
          <bgColor indexed="65"/>
        </patternFill>
      </fill>
    </ndxf>
  </rcc>
  <rcc rId="433" sId="8" odxf="1" dxf="1">
    <oc r="AC148">
      <f>AA148</f>
    </oc>
    <nc r="AC148"/>
    <odxf>
      <numFmt numFmtId="164" formatCode="#,##0_);[Red]\(#,##0\)"/>
      <fill>
        <patternFill patternType="solid">
          <bgColor rgb="FFFFFF00"/>
        </patternFill>
      </fill>
    </odxf>
    <ndxf>
      <numFmt numFmtId="0" formatCode="General"/>
      <fill>
        <patternFill patternType="none">
          <bgColor indexed="65"/>
        </patternFill>
      </fill>
    </ndxf>
  </rcc>
  <rcc rId="434" sId="8" odxf="1" dxf="1">
    <oc r="AC149">
      <f>AA149-'Rach. przepływów pieniężnych'!C35</f>
    </oc>
    <nc r="AC149"/>
    <odxf>
      <numFmt numFmtId="164" formatCode="#,##0_);[Red]\(#,##0\)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435" sId="8" odxf="1" dxf="1">
    <oc r="AC150">
      <f>AA150-'Rach. przepływów pieniężnych'!C36</f>
    </oc>
    <nc r="AC150"/>
    <odxf>
      <numFmt numFmtId="164" formatCode="#,##0_);[Red]\(#,##0\)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436" sId="8" odxf="1" dxf="1">
    <oc r="AC151">
      <f>AA151-'Rach. przepływów pieniężnych'!C37</f>
    </oc>
    <nc r="AC151"/>
    <odxf>
      <numFmt numFmtId="164" formatCode="#,##0_);[Red]\(#,##0\)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437" sId="8" odxf="1" dxf="1">
    <oc r="AC152">
      <f>AA152-'Rach. przepływów pieniężnych'!C38</f>
    </oc>
    <nc r="AC152"/>
    <odxf>
      <numFmt numFmtId="164" formatCode="#,##0_);[Red]\(#,##0\)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438" sId="8" odxf="1" dxf="1">
    <oc r="AC153">
      <f>AA153-'Rach. przepływów pieniężnych'!C39</f>
    </oc>
    <nc r="AC153"/>
    <odxf>
      <numFmt numFmtId="164" formatCode="#,##0_);[Red]\(#,##0\)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cc rId="439" sId="8" odxf="1" dxf="1">
    <oc r="AC154">
      <f>AA154-'Rach. przepływów pieniężnych'!C40</f>
    </oc>
    <nc r="AC154"/>
    <odxf>
      <numFmt numFmtId="164" formatCode="#,##0_);[Red]\(#,##0\)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8" sqref="AC155" start="0" length="0">
    <dxf>
      <fill>
        <patternFill patternType="none">
          <bgColor indexed="65"/>
        </patternFill>
      </fill>
    </dxf>
  </rfmt>
  <rfmt sheetId="8" sqref="AC139:AC155">
    <dxf>
      <fill>
        <patternFill patternType="solid">
          <bgColor theme="0"/>
        </patternFill>
      </fill>
    </dxf>
  </rfmt>
  <rcc rId="440" sId="8">
    <oc r="AA150">
      <v>-33742</v>
    </oc>
    <nc r="AA150">
      <f>-33742-Z150</f>
    </nc>
  </rcc>
  <rcc rId="441" sId="8" odxf="1" dxf="1">
    <oc r="AA151">
      <v>879</v>
    </oc>
    <nc r="AA151">
      <f>879-Z151</f>
    </nc>
    <ndxf>
      <font>
        <sz val="10"/>
        <color rgb="FF4B4B4B"/>
        <name val="Arial"/>
        <scheme val="none"/>
      </font>
      <numFmt numFmtId="164" formatCode="#,##0_);[Red]\(#,##0\)"/>
    </ndxf>
  </rcc>
  <rcc rId="442" sId="8" numFmtId="4">
    <oc r="AA152">
      <v>327715</v>
    </oc>
    <nc r="AA152">
      <f>Z153</f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O21" start="0" length="0">
    <dxf>
      <fill>
        <patternFill patternType="solid">
          <bgColor theme="0"/>
        </patternFill>
      </fill>
    </dxf>
  </rfmt>
  <rfmt sheetId="9" sqref="O5" start="0" length="0">
    <dxf>
      <numFmt numFmtId="171" formatCode="_-* #,##0&quot;   &quot;;[Red]\(#,##0\)&quot;  &quot;;&quot;-   &quot;"/>
    </dxf>
  </rfmt>
  <rfmt sheetId="9" sqref="O6" start="0" length="0">
    <dxf>
      <numFmt numFmtId="171" formatCode="_-* #,##0&quot;   &quot;;[Red]\(#,##0\)&quot;  &quot;;&quot;-   &quot;"/>
    </dxf>
  </rfmt>
  <rfmt sheetId="9" sqref="O7" start="0" length="0">
    <dxf>
      <numFmt numFmtId="171" formatCode="_-* #,##0&quot;   &quot;;[Red]\(#,##0\)&quot;  &quot;;&quot;-   &quot;"/>
    </dxf>
  </rfmt>
  <rfmt sheetId="9" sqref="O8" start="0" length="0">
    <dxf>
      <numFmt numFmtId="171" formatCode="_-* #,##0&quot;   &quot;;[Red]\(#,##0\)&quot;  &quot;;&quot;-   &quot;"/>
    </dxf>
  </rfmt>
  <rfmt sheetId="9" sqref="O9" start="0" length="0">
    <dxf>
      <numFmt numFmtId="171" formatCode="_-* #,##0&quot;   &quot;;[Red]\(#,##0\)&quot;  &quot;;&quot;-   &quot;"/>
    </dxf>
  </rfmt>
  <rfmt sheetId="9" sqref="O10" start="0" length="0">
    <dxf>
      <numFmt numFmtId="171" formatCode="_-* #,##0&quot;   &quot;;[Red]\(#,##0\)&quot;  &quot;;&quot;-   &quot;"/>
    </dxf>
  </rfmt>
  <rfmt sheetId="9" sqref="O11" start="0" length="0">
    <dxf>
      <numFmt numFmtId="171" formatCode="_-* #,##0&quot;   &quot;;[Red]\(#,##0\)&quot;  &quot;;&quot;-   &quot;"/>
    </dxf>
  </rfmt>
  <rfmt sheetId="9" sqref="O12" start="0" length="0">
    <dxf>
      <numFmt numFmtId="171" formatCode="_-* #,##0&quot;   &quot;;[Red]\(#,##0\)&quot;  &quot;;&quot;-   &quot;"/>
    </dxf>
  </rfmt>
  <rfmt sheetId="9" sqref="O13" start="0" length="0">
    <dxf>
      <numFmt numFmtId="171" formatCode="_-* #,##0&quot;   &quot;;[Red]\(#,##0\)&quot;  &quot;;&quot;-   &quot;"/>
    </dxf>
  </rfmt>
  <rfmt sheetId="9" sqref="O14" start="0" length="0">
    <dxf>
      <numFmt numFmtId="171" formatCode="_-* #,##0&quot;   &quot;;[Red]\(#,##0\)&quot;  &quot;;&quot;-   &quot;"/>
    </dxf>
  </rfmt>
  <rfmt sheetId="9" sqref="O15" start="0" length="0">
    <dxf>
      <numFmt numFmtId="171" formatCode="_-* #,##0&quot;   &quot;;[Red]\(#,##0\)&quot;  &quot;;&quot;-   &quot;"/>
    </dxf>
  </rfmt>
  <rfmt sheetId="9" sqref="O16" start="0" length="0">
    <dxf>
      <numFmt numFmtId="171" formatCode="_-* #,##0&quot;   &quot;;[Red]\(#,##0\)&quot;  &quot;;&quot;-   &quot;"/>
    </dxf>
  </rfmt>
  <rfmt sheetId="9" sqref="O17" start="0" length="0">
    <dxf>
      <numFmt numFmtId="171" formatCode="_-* #,##0&quot;   &quot;;[Red]\(#,##0\)&quot;  &quot;;&quot;-   &quot;"/>
    </dxf>
  </rfmt>
  <rfmt sheetId="9" sqref="O18" start="0" length="0">
    <dxf>
      <numFmt numFmtId="171" formatCode="_-* #,##0&quot;   &quot;;[Red]\(#,##0\)&quot;  &quot;;&quot;-   &quot;"/>
    </dxf>
  </rfmt>
  <rfmt sheetId="9" sqref="O19" start="0" length="0">
    <dxf>
      <numFmt numFmtId="171" formatCode="_-* #,##0&quot;   &quot;;[Red]\(#,##0\)&quot;  &quot;;&quot;-   &quot;"/>
    </dxf>
  </rfmt>
  <rfmt sheetId="9" sqref="O20" start="0" length="0">
    <dxf>
      <numFmt numFmtId="171" formatCode="_-* #,##0&quot;   &quot;;[Red]\(#,##0\)&quot;  &quot;;&quot;-   &quot;"/>
    </dxf>
  </rfmt>
  <rfmt sheetId="9" sqref="O21" start="0" length="0">
    <dxf>
      <numFmt numFmtId="171" formatCode="_-* #,##0&quot;   &quot;;[Red]\(#,##0\)&quot;  &quot;;&quot;-   &quot;"/>
    </dxf>
  </rfmt>
  <rfmt sheetId="9" sqref="O22" start="0" length="0">
    <dxf>
      <numFmt numFmtId="171" formatCode="_-* #,##0&quot;   &quot;;[Red]\(#,##0\)&quot;  &quot;;&quot;-   &quot;"/>
    </dxf>
  </rfmt>
  <rfmt sheetId="9" sqref="O23" start="0" length="0">
    <dxf>
      <numFmt numFmtId="171" formatCode="_-* #,##0&quot;   &quot;;[Red]\(#,##0\)&quot;  &quot;;&quot;-   &quot;"/>
    </dxf>
  </rfmt>
  <rfmt sheetId="9" sqref="O24" start="0" length="0">
    <dxf>
      <numFmt numFmtId="171" formatCode="_-* #,##0&quot;   &quot;;[Red]\(#,##0\)&quot;  &quot;;&quot;-   &quot;"/>
    </dxf>
  </rfmt>
  <rfmt sheetId="9" sqref="O25" start="0" length="0">
    <dxf>
      <numFmt numFmtId="171" formatCode="_-* #,##0&quot;   &quot;;[Red]\(#,##0\)&quot;  &quot;;&quot;-   &quot;"/>
    </dxf>
  </rfmt>
  <rfmt sheetId="9" sqref="O26" start="0" length="0">
    <dxf>
      <numFmt numFmtId="171" formatCode="_-* #,##0&quot;   &quot;;[Red]\(#,##0\)&quot;  &quot;;&quot;-   &quot;"/>
    </dxf>
  </rfmt>
  <rfmt sheetId="9" sqref="O27" start="0" length="0">
    <dxf>
      <numFmt numFmtId="171" formatCode="_-* #,##0&quot;   &quot;;[Red]\(#,##0\)&quot;  &quot;;&quot;-   &quot;"/>
    </dxf>
  </rfmt>
  <rfmt sheetId="9" sqref="O28" start="0" length="0">
    <dxf>
      <numFmt numFmtId="171" formatCode="_-* #,##0&quot;   &quot;;[Red]\(#,##0\)&quot;  &quot;;&quot;-   &quot;"/>
    </dxf>
  </rfmt>
  <rfmt sheetId="9" sqref="O29" start="0" length="0">
    <dxf>
      <numFmt numFmtId="171" formatCode="_-* #,##0&quot;   &quot;;[Red]\(#,##0\)&quot;  &quot;;&quot;-   &quot;"/>
    </dxf>
  </rfmt>
  <rfmt sheetId="9" sqref="O30" start="0" length="0">
    <dxf>
      <numFmt numFmtId="171" formatCode="_-* #,##0&quot;   &quot;;[Red]\(#,##0\)&quot;  &quot;;&quot;-   &quot;"/>
    </dxf>
  </rfmt>
  <rfmt sheetId="9" sqref="O31" start="0" length="0">
    <dxf>
      <numFmt numFmtId="171" formatCode="_-* #,##0&quot;   &quot;;[Red]\(#,##0\)&quot;  &quot;;&quot;-   &quot;"/>
    </dxf>
  </rfmt>
  <rfmt sheetId="9" sqref="O32" start="0" length="0">
    <dxf>
      <numFmt numFmtId="171" formatCode="_-* #,##0&quot;   &quot;;[Red]\(#,##0\)&quot;  &quot;;&quot;-   &quot;"/>
    </dxf>
  </rfmt>
  <rfmt sheetId="9" sqref="O33" start="0" length="0">
    <dxf>
      <numFmt numFmtId="171" formatCode="_-* #,##0&quot;   &quot;;[Red]\(#,##0\)&quot;  &quot;;&quot;-   &quot;"/>
    </dxf>
  </rfmt>
  <rfmt sheetId="9" sqref="O34" start="0" length="0">
    <dxf>
      <numFmt numFmtId="171" formatCode="_-* #,##0&quot;   &quot;;[Red]\(#,##0\)&quot;  &quot;;&quot;-   &quot;"/>
    </dxf>
  </rfmt>
  <rfmt sheetId="9" sqref="O35" start="0" length="0">
    <dxf>
      <numFmt numFmtId="171" formatCode="_-* #,##0&quot;   &quot;;[Red]\(#,##0\)&quot;  &quot;;&quot;-   &quot;"/>
    </dxf>
  </rfmt>
  <rfmt sheetId="9" sqref="O36" start="0" length="0">
    <dxf>
      <numFmt numFmtId="171" formatCode="_-* #,##0&quot;   &quot;;[Red]\(#,##0\)&quot;  &quot;;&quot;-   &quot;"/>
    </dxf>
  </rfmt>
  <rfmt sheetId="9" sqref="Q5" start="0" length="0">
    <dxf>
      <numFmt numFmtId="171" formatCode="_-* #,##0&quot;   &quot;;[Red]\(#,##0\)&quot;  &quot;;&quot;-   &quot;"/>
    </dxf>
  </rfmt>
  <rfmt sheetId="9" sqref="Q6" start="0" length="0">
    <dxf>
      <numFmt numFmtId="171" formatCode="_-* #,##0&quot;   &quot;;[Red]\(#,##0\)&quot;  &quot;;&quot;-   &quot;"/>
    </dxf>
  </rfmt>
  <rfmt sheetId="9" sqref="Q7" start="0" length="0">
    <dxf>
      <numFmt numFmtId="171" formatCode="_-* #,##0&quot;   &quot;;[Red]\(#,##0\)&quot;  &quot;;&quot;-   &quot;"/>
    </dxf>
  </rfmt>
  <rfmt sheetId="9" sqref="Q8" start="0" length="0">
    <dxf>
      <numFmt numFmtId="171" formatCode="_-* #,##0&quot;   &quot;;[Red]\(#,##0\)&quot;  &quot;;&quot;-   &quot;"/>
    </dxf>
  </rfmt>
  <rfmt sheetId="9" sqref="Q9" start="0" length="0">
    <dxf>
      <numFmt numFmtId="171" formatCode="_-* #,##0&quot;   &quot;;[Red]\(#,##0\)&quot;  &quot;;&quot;-   &quot;"/>
    </dxf>
  </rfmt>
  <rfmt sheetId="9" sqref="Q10" start="0" length="0">
    <dxf>
      <numFmt numFmtId="171" formatCode="_-* #,##0&quot;   &quot;;[Red]\(#,##0\)&quot;  &quot;;&quot;-   &quot;"/>
    </dxf>
  </rfmt>
  <rfmt sheetId="9" sqref="Q11" start="0" length="0">
    <dxf>
      <numFmt numFmtId="171" formatCode="_-* #,##0&quot;   &quot;;[Red]\(#,##0\)&quot;  &quot;;&quot;-   &quot;"/>
    </dxf>
  </rfmt>
  <rfmt sheetId="9" sqref="Q12" start="0" length="0">
    <dxf>
      <numFmt numFmtId="171" formatCode="_-* #,##0&quot;   &quot;;[Red]\(#,##0\)&quot;  &quot;;&quot;-   &quot;"/>
    </dxf>
  </rfmt>
  <rfmt sheetId="9" sqref="Q13" start="0" length="0">
    <dxf>
      <numFmt numFmtId="171" formatCode="_-* #,##0&quot;   &quot;;[Red]\(#,##0\)&quot;  &quot;;&quot;-   &quot;"/>
    </dxf>
  </rfmt>
  <rfmt sheetId="9" sqref="Q14" start="0" length="0">
    <dxf>
      <numFmt numFmtId="171" formatCode="_-* #,##0&quot;   &quot;;[Red]\(#,##0\)&quot;  &quot;;&quot;-   &quot;"/>
    </dxf>
  </rfmt>
  <rfmt sheetId="9" sqref="Q15" start="0" length="0">
    <dxf>
      <numFmt numFmtId="171" formatCode="_-* #,##0&quot;   &quot;;[Red]\(#,##0\)&quot;  &quot;;&quot;-   &quot;"/>
    </dxf>
  </rfmt>
  <rfmt sheetId="9" sqref="Q16" start="0" length="0">
    <dxf>
      <numFmt numFmtId="171" formatCode="_-* #,##0&quot;   &quot;;[Red]\(#,##0\)&quot;  &quot;;&quot;-   &quot;"/>
    </dxf>
  </rfmt>
  <rfmt sheetId="9" sqref="Q17" start="0" length="0">
    <dxf>
      <numFmt numFmtId="171" formatCode="_-* #,##0&quot;   &quot;;[Red]\(#,##0\)&quot;  &quot;;&quot;-   &quot;"/>
    </dxf>
  </rfmt>
  <rfmt sheetId="9" sqref="Q18" start="0" length="0">
    <dxf>
      <numFmt numFmtId="171" formatCode="_-* #,##0&quot;   &quot;;[Red]\(#,##0\)&quot;  &quot;;&quot;-   &quot;"/>
    </dxf>
  </rfmt>
  <rfmt sheetId="9" sqref="Q19" start="0" length="0">
    <dxf>
      <numFmt numFmtId="171" formatCode="_-* #,##0&quot;   &quot;;[Red]\(#,##0\)&quot;  &quot;;&quot;-   &quot;"/>
    </dxf>
  </rfmt>
  <rfmt sheetId="9" sqref="Q20" start="0" length="0">
    <dxf>
      <numFmt numFmtId="171" formatCode="_-* #,##0&quot;   &quot;;[Red]\(#,##0\)&quot;  &quot;;&quot;-   &quot;"/>
    </dxf>
  </rfmt>
  <rfmt sheetId="9" sqref="Q21" start="0" length="0">
    <dxf>
      <numFmt numFmtId="171" formatCode="_-* #,##0&quot;   &quot;;[Red]\(#,##0\)&quot;  &quot;;&quot;-   &quot;"/>
      <fill>
        <patternFill patternType="solid">
          <bgColor theme="0"/>
        </patternFill>
      </fill>
    </dxf>
  </rfmt>
  <rfmt sheetId="9" sqref="Q22" start="0" length="0">
    <dxf>
      <numFmt numFmtId="171" formatCode="_-* #,##0&quot;   &quot;;[Red]\(#,##0\)&quot;  &quot;;&quot;-   &quot;"/>
    </dxf>
  </rfmt>
  <rfmt sheetId="9" sqref="Q23" start="0" length="0">
    <dxf>
      <numFmt numFmtId="171" formatCode="_-* #,##0&quot;   &quot;;[Red]\(#,##0\)&quot;  &quot;;&quot;-   &quot;"/>
    </dxf>
  </rfmt>
  <rfmt sheetId="9" sqref="Q24" start="0" length="0">
    <dxf>
      <numFmt numFmtId="171" formatCode="_-* #,##0&quot;   &quot;;[Red]\(#,##0\)&quot;  &quot;;&quot;-   &quot;"/>
    </dxf>
  </rfmt>
  <rfmt sheetId="9" sqref="Q25" start="0" length="0">
    <dxf>
      <numFmt numFmtId="171" formatCode="_-* #,##0&quot;   &quot;;[Red]\(#,##0\)&quot;  &quot;;&quot;-   &quot;"/>
    </dxf>
  </rfmt>
  <rfmt sheetId="9" sqref="Q26" start="0" length="0">
    <dxf>
      <numFmt numFmtId="171" formatCode="_-* #,##0&quot;   &quot;;[Red]\(#,##0\)&quot;  &quot;;&quot;-   &quot;"/>
    </dxf>
  </rfmt>
  <rfmt sheetId="9" sqref="Q27" start="0" length="0">
    <dxf>
      <numFmt numFmtId="171" formatCode="_-* #,##0&quot;   &quot;;[Red]\(#,##0\)&quot;  &quot;;&quot;-   &quot;"/>
    </dxf>
  </rfmt>
  <rfmt sheetId="9" sqref="Q28" start="0" length="0">
    <dxf>
      <numFmt numFmtId="171" formatCode="_-* #,##0&quot;   &quot;;[Red]\(#,##0\)&quot;  &quot;;&quot;-   &quot;"/>
    </dxf>
  </rfmt>
  <rfmt sheetId="9" sqref="Q29" start="0" length="0">
    <dxf>
      <numFmt numFmtId="171" formatCode="_-* #,##0&quot;   &quot;;[Red]\(#,##0\)&quot;  &quot;;&quot;-   &quot;"/>
    </dxf>
  </rfmt>
  <rfmt sheetId="9" sqref="Q30" start="0" length="0">
    <dxf>
      <numFmt numFmtId="171" formatCode="_-* #,##0&quot;   &quot;;[Red]\(#,##0\)&quot;  &quot;;&quot;-   &quot;"/>
    </dxf>
  </rfmt>
  <rfmt sheetId="9" sqref="Q31" start="0" length="0">
    <dxf>
      <numFmt numFmtId="171" formatCode="_-* #,##0&quot;   &quot;;[Red]\(#,##0\)&quot;  &quot;;&quot;-   &quot;"/>
    </dxf>
  </rfmt>
  <rfmt sheetId="9" sqref="Q32" start="0" length="0">
    <dxf>
      <numFmt numFmtId="171" formatCode="_-* #,##0&quot;   &quot;;[Red]\(#,##0\)&quot;  &quot;;&quot;-   &quot;"/>
    </dxf>
  </rfmt>
  <rfmt sheetId="9" sqref="Q33" start="0" length="0">
    <dxf>
      <numFmt numFmtId="171" formatCode="_-* #,##0&quot;   &quot;;[Red]\(#,##0\)&quot;  &quot;;&quot;-   &quot;"/>
    </dxf>
  </rfmt>
  <rfmt sheetId="9" sqref="Q34" start="0" length="0">
    <dxf>
      <numFmt numFmtId="171" formatCode="_-* #,##0&quot;   &quot;;[Red]\(#,##0\)&quot;  &quot;;&quot;-   &quot;"/>
    </dxf>
  </rfmt>
  <rfmt sheetId="9" sqref="Q35" start="0" length="0">
    <dxf>
      <numFmt numFmtId="171" formatCode="_-* #,##0&quot;   &quot;;[Red]\(#,##0\)&quot;  &quot;;&quot;-   &quot;"/>
    </dxf>
  </rfmt>
  <rfmt sheetId="9" sqref="Q36" start="0" length="0">
    <dxf>
      <numFmt numFmtId="171" formatCode="_-* #,##0&quot;   &quot;;[Red]\(#,##0\)&quot;  &quot;;&quot;-   &quot;"/>
    </dxf>
  </rfmt>
  <rcc rId="443" sId="9" odxf="1" dxf="1">
    <nc r="O42">
      <f>'Hist. dane kwartalne'!AA42</f>
    </nc>
    <odxf>
      <numFmt numFmtId="0" formatCode="General"/>
    </odxf>
    <ndxf>
      <numFmt numFmtId="3" formatCode="#,##0"/>
    </ndxf>
  </rcc>
  <rcc rId="444" sId="9" odxf="1" dxf="1">
    <nc r="O43">
      <f>'Hist. dane kwartalne'!AA43</f>
    </nc>
    <odxf>
      <numFmt numFmtId="0" formatCode="General"/>
    </odxf>
    <ndxf>
      <numFmt numFmtId="3" formatCode="#,##0"/>
    </ndxf>
  </rcc>
  <rcc rId="445" sId="9" odxf="1" dxf="1">
    <nc r="O44">
      <f>'Hist. dane kwartalne'!AA44</f>
    </nc>
    <odxf>
      <numFmt numFmtId="0" formatCode="General"/>
    </odxf>
    <ndxf>
      <numFmt numFmtId="3" formatCode="#,##0"/>
    </ndxf>
  </rcc>
  <rcc rId="446" sId="9" odxf="1" dxf="1">
    <nc r="O45">
      <f>'Hist. dane kwartalne'!AA45</f>
    </nc>
    <odxf>
      <numFmt numFmtId="0" formatCode="General"/>
    </odxf>
    <ndxf>
      <numFmt numFmtId="3" formatCode="#,##0"/>
    </ndxf>
  </rcc>
  <rcc rId="447" sId="9" odxf="1" dxf="1">
    <nc r="O46">
      <f>'Hist. dane kwartalne'!AA46</f>
    </nc>
    <odxf>
      <numFmt numFmtId="0" formatCode="General"/>
    </odxf>
    <ndxf>
      <numFmt numFmtId="3" formatCode="#,##0"/>
    </ndxf>
  </rcc>
  <rcc rId="448" sId="9" odxf="1" dxf="1">
    <nc r="O47">
      <f>'Hist. dane kwartalne'!AA47</f>
    </nc>
    <odxf>
      <numFmt numFmtId="0" formatCode="General"/>
    </odxf>
    <ndxf>
      <numFmt numFmtId="3" formatCode="#,##0"/>
    </ndxf>
  </rcc>
  <rcc rId="449" sId="9" odxf="1" dxf="1">
    <nc r="O48">
      <f>'Hist. dane kwartalne'!AA48</f>
    </nc>
    <odxf>
      <numFmt numFmtId="0" formatCode="General"/>
    </odxf>
    <ndxf>
      <numFmt numFmtId="3" formatCode="#,##0"/>
    </ndxf>
  </rcc>
  <rcc rId="450" sId="9" odxf="1" dxf="1">
    <nc r="O49">
      <f>'Hist. dane kwartalne'!AA49</f>
    </nc>
    <odxf>
      <numFmt numFmtId="0" formatCode="General"/>
    </odxf>
    <ndxf>
      <numFmt numFmtId="3" formatCode="#,##0"/>
    </ndxf>
  </rcc>
  <rcc rId="451" sId="9" odxf="1" dxf="1">
    <nc r="O50">
      <f>'Hist. dane kwartalne'!AA50</f>
    </nc>
    <odxf>
      <numFmt numFmtId="0" formatCode="General"/>
    </odxf>
    <ndxf>
      <numFmt numFmtId="3" formatCode="#,##0"/>
    </ndxf>
  </rcc>
  <rcc rId="452" sId="9" odxf="1" dxf="1">
    <nc r="O51">
      <f>'Hist. dane kwartalne'!AA51</f>
    </nc>
    <odxf>
      <numFmt numFmtId="0" formatCode="General"/>
    </odxf>
    <ndxf>
      <numFmt numFmtId="3" formatCode="#,##0"/>
    </ndxf>
  </rcc>
  <rcc rId="453" sId="9" odxf="1" dxf="1">
    <nc r="O52">
      <f>'Hist. dane kwartalne'!AA52</f>
    </nc>
    <odxf>
      <numFmt numFmtId="0" formatCode="General"/>
    </odxf>
    <ndxf>
      <numFmt numFmtId="3" formatCode="#,##0"/>
    </ndxf>
  </rcc>
  <rcc rId="454" sId="9" odxf="1" dxf="1">
    <nc r="O53">
      <f>'Hist. dane kwartalne'!AA53</f>
    </nc>
    <odxf>
      <numFmt numFmtId="0" formatCode="General"/>
    </odxf>
    <ndxf>
      <numFmt numFmtId="3" formatCode="#,##0"/>
    </ndxf>
  </rcc>
  <rcc rId="455" sId="9" odxf="1" dxf="1">
    <nc r="O54">
      <f>'Hist. dane kwartalne'!AA54</f>
    </nc>
    <odxf>
      <numFmt numFmtId="0" formatCode="General"/>
    </odxf>
    <ndxf>
      <numFmt numFmtId="3" formatCode="#,##0"/>
    </ndxf>
  </rcc>
  <rcc rId="456" sId="9" odxf="1" dxf="1">
    <nc r="O55">
      <f>'Hist. dane kwartalne'!AA55</f>
    </nc>
    <odxf>
      <numFmt numFmtId="0" formatCode="General"/>
    </odxf>
    <ndxf>
      <numFmt numFmtId="3" formatCode="#,##0"/>
    </ndxf>
  </rcc>
  <rcc rId="457" sId="9" odxf="1" dxf="1">
    <nc r="O56">
      <f>'Hist. dane kwartalne'!AA56</f>
    </nc>
    <odxf>
      <numFmt numFmtId="0" formatCode="General"/>
    </odxf>
    <ndxf>
      <numFmt numFmtId="3" formatCode="#,##0"/>
    </ndxf>
  </rcc>
  <rcc rId="458" sId="9" odxf="1" dxf="1">
    <nc r="O57">
      <f>'Hist. dane kwartalne'!AA57</f>
    </nc>
    <odxf>
      <numFmt numFmtId="0" formatCode="General"/>
    </odxf>
    <ndxf>
      <numFmt numFmtId="3" formatCode="#,##0"/>
    </ndxf>
  </rcc>
  <rcc rId="459" sId="9" odxf="1" dxf="1">
    <nc r="O58">
      <f>'Hist. dane kwartalne'!AA58</f>
    </nc>
    <odxf>
      <numFmt numFmtId="0" formatCode="General"/>
    </odxf>
    <ndxf>
      <numFmt numFmtId="3" formatCode="#,##0"/>
    </ndxf>
  </rcc>
  <rcc rId="460" sId="9" odxf="1" dxf="1">
    <nc r="O59">
      <f>'Hist. dane kwartalne'!AA59</f>
    </nc>
    <odxf>
      <numFmt numFmtId="0" formatCode="General"/>
    </odxf>
    <ndxf>
      <numFmt numFmtId="3" formatCode="#,##0"/>
    </ndxf>
  </rcc>
  <rcc rId="461" sId="9" odxf="1" dxf="1">
    <nc r="O60">
      <f>'Hist. dane kwartalne'!AA60</f>
    </nc>
    <odxf>
      <numFmt numFmtId="0" formatCode="General"/>
    </odxf>
    <ndxf>
      <numFmt numFmtId="3" formatCode="#,##0"/>
    </ndxf>
  </rcc>
  <rcc rId="462" sId="9" odxf="1" dxf="1">
    <nc r="O61">
      <f>'Hist. dane kwartalne'!AA61</f>
    </nc>
    <odxf>
      <numFmt numFmtId="0" formatCode="General"/>
    </odxf>
    <ndxf>
      <numFmt numFmtId="3" formatCode="#,##0"/>
    </ndxf>
  </rcc>
  <rcc rId="463" sId="9" odxf="1" dxf="1">
    <nc r="O62">
      <f>'Hist. dane kwartalne'!AA62</f>
    </nc>
    <odxf>
      <numFmt numFmtId="0" formatCode="General"/>
    </odxf>
    <ndxf>
      <numFmt numFmtId="3" formatCode="#,##0"/>
    </ndxf>
  </rcc>
  <rcc rId="464" sId="9" odxf="1" dxf="1">
    <nc r="O63">
      <f>'Hist. dane kwartalne'!AA63</f>
    </nc>
    <odxf>
      <numFmt numFmtId="0" formatCode="General"/>
    </odxf>
    <ndxf>
      <numFmt numFmtId="3" formatCode="#,##0"/>
    </ndxf>
  </rcc>
  <rcc rId="465" sId="9" odxf="1" dxf="1">
    <nc r="O64">
      <f>'Hist. dane kwartalne'!AA64</f>
    </nc>
    <odxf>
      <numFmt numFmtId="0" formatCode="General"/>
    </odxf>
    <ndxf>
      <numFmt numFmtId="3" formatCode="#,##0"/>
    </ndxf>
  </rcc>
  <rcc rId="466" sId="9" odxf="1" dxf="1">
    <nc r="O65">
      <f>'Hist. dane kwartalne'!AA65</f>
    </nc>
    <odxf>
      <numFmt numFmtId="0" formatCode="General"/>
    </odxf>
    <ndxf>
      <numFmt numFmtId="3" formatCode="#,##0"/>
    </ndxf>
  </rcc>
  <rcc rId="467" sId="9" odxf="1" dxf="1">
    <nc r="O66">
      <f>'Hist. dane kwartalne'!AA66</f>
    </nc>
    <odxf>
      <numFmt numFmtId="0" formatCode="General"/>
    </odxf>
    <ndxf>
      <numFmt numFmtId="3" formatCode="#,##0"/>
    </ndxf>
  </rcc>
  <rcc rId="468" sId="9" odxf="1" dxf="1">
    <nc r="O67">
      <f>'Hist. dane kwartalne'!AA67</f>
    </nc>
    <odxf>
      <numFmt numFmtId="0" formatCode="General"/>
    </odxf>
    <ndxf>
      <numFmt numFmtId="3" formatCode="#,##0"/>
    </ndxf>
  </rcc>
  <rcc rId="469" sId="9" odxf="1" dxf="1">
    <nc r="O68">
      <f>'Hist. dane kwartalne'!AA68</f>
    </nc>
    <odxf>
      <numFmt numFmtId="0" formatCode="General"/>
    </odxf>
    <ndxf>
      <numFmt numFmtId="3" formatCode="#,##0"/>
    </ndxf>
  </rcc>
  <rcc rId="470" sId="9" odxf="1" dxf="1">
    <nc r="O69">
      <f>'Hist. dane kwartalne'!AA69</f>
    </nc>
    <odxf>
      <numFmt numFmtId="0" formatCode="General"/>
    </odxf>
    <ndxf>
      <numFmt numFmtId="3" formatCode="#,##0"/>
    </ndxf>
  </rcc>
  <rcc rId="471" sId="9" odxf="1" dxf="1">
    <nc r="O70">
      <f>'Hist. dane kwartalne'!AA70</f>
    </nc>
    <odxf>
      <numFmt numFmtId="0" formatCode="General"/>
    </odxf>
    <ndxf>
      <numFmt numFmtId="3" formatCode="#,##0"/>
    </ndxf>
  </rcc>
  <rcc rId="472" sId="9" odxf="1" dxf="1">
    <nc r="O71">
      <f>'Hist. dane kwartalne'!AA71</f>
    </nc>
    <odxf>
      <numFmt numFmtId="0" formatCode="General"/>
    </odxf>
    <ndxf>
      <numFmt numFmtId="3" formatCode="#,##0"/>
    </ndxf>
  </rcc>
  <rcc rId="473" sId="9" odxf="1" dxf="1">
    <nc r="O72">
      <f>'Hist. dane kwartalne'!AA72</f>
    </nc>
    <odxf>
      <numFmt numFmtId="0" formatCode="General"/>
    </odxf>
    <ndxf>
      <numFmt numFmtId="3" formatCode="#,##0"/>
    </ndxf>
  </rcc>
  <rcc rId="474" sId="9" odxf="1" dxf="1">
    <nc r="O73">
      <f>'Hist. dane kwartalne'!AA73</f>
    </nc>
    <odxf>
      <numFmt numFmtId="0" formatCode="General"/>
    </odxf>
    <ndxf>
      <numFmt numFmtId="3" formatCode="#,##0"/>
    </ndxf>
  </rcc>
  <rcc rId="475" sId="9" odxf="1" dxf="1">
    <nc r="O74">
      <f>'Hist. dane kwartalne'!AA74</f>
    </nc>
    <odxf>
      <numFmt numFmtId="0" formatCode="General"/>
    </odxf>
    <ndxf>
      <numFmt numFmtId="3" formatCode="#,##0"/>
    </ndxf>
  </rcc>
  <rcc rId="476" sId="9" odxf="1" dxf="1">
    <nc r="O75">
      <f>'Hist. dane kwartalne'!AA75</f>
    </nc>
    <odxf>
      <numFmt numFmtId="0" formatCode="General"/>
    </odxf>
    <ndxf>
      <numFmt numFmtId="3" formatCode="#,##0"/>
    </ndxf>
  </rcc>
  <rcc rId="477" sId="9" odxf="1" dxf="1">
    <nc r="O76">
      <f>'Hist. dane kwartalne'!AA76</f>
    </nc>
    <odxf>
      <numFmt numFmtId="0" formatCode="General"/>
    </odxf>
    <ndxf>
      <numFmt numFmtId="3" formatCode="#,##0"/>
    </ndxf>
  </rcc>
  <rcc rId="478" sId="9" odxf="1" dxf="1">
    <nc r="O77">
      <f>'Hist. dane kwartalne'!AA77</f>
    </nc>
    <odxf>
      <numFmt numFmtId="0" formatCode="General"/>
    </odxf>
    <ndxf>
      <numFmt numFmtId="3" formatCode="#,##0"/>
    </ndxf>
  </rcc>
  <rcc rId="479" sId="9" odxf="1" dxf="1">
    <nc r="O78">
      <f>'Hist. dane kwartalne'!AA78</f>
    </nc>
    <odxf>
      <numFmt numFmtId="0" formatCode="General"/>
    </odxf>
    <ndxf>
      <numFmt numFmtId="3" formatCode="#,##0"/>
    </ndxf>
  </rcc>
  <rcc rId="480" sId="9" odxf="1" dxf="1">
    <nc r="O79">
      <f>'Hist. dane kwartalne'!AA79</f>
    </nc>
    <odxf>
      <numFmt numFmtId="0" formatCode="General"/>
    </odxf>
    <ndxf>
      <numFmt numFmtId="3" formatCode="#,##0"/>
    </ndxf>
  </rcc>
  <rcc rId="481" sId="9" odxf="1" dxf="1">
    <nc r="O80">
      <f>'Hist. dane kwartalne'!AA80</f>
    </nc>
    <odxf>
      <numFmt numFmtId="0" formatCode="General"/>
    </odxf>
    <ndxf>
      <numFmt numFmtId="3" formatCode="#,##0"/>
    </ndxf>
  </rcc>
  <rcc rId="482" sId="9" odxf="1" dxf="1">
    <nc r="O81">
      <f>'Hist. dane kwartalne'!AA81</f>
    </nc>
    <odxf>
      <numFmt numFmtId="0" formatCode="General"/>
    </odxf>
    <ndxf>
      <numFmt numFmtId="3" formatCode="#,##0"/>
    </ndxf>
  </rcc>
  <rcc rId="483" sId="9" odxf="1" dxf="1">
    <nc r="O82">
      <f>'Hist. dane kwartalne'!AA82</f>
    </nc>
    <odxf>
      <numFmt numFmtId="0" formatCode="General"/>
    </odxf>
    <ndxf>
      <numFmt numFmtId="3" formatCode="#,##0"/>
    </ndxf>
  </rcc>
  <rcc rId="484" sId="9" odxf="1" dxf="1">
    <nc r="O83">
      <f>'Hist. dane kwartalne'!AA83</f>
    </nc>
    <odxf>
      <numFmt numFmtId="0" formatCode="General"/>
    </odxf>
    <ndxf>
      <numFmt numFmtId="3" formatCode="#,##0"/>
    </ndxf>
  </rcc>
  <rcc rId="485" sId="9" odxf="1" dxf="1">
    <nc r="O84">
      <f>'Hist. dane kwartalne'!AA84</f>
    </nc>
    <odxf>
      <numFmt numFmtId="0" formatCode="General"/>
    </odxf>
    <ndxf>
      <numFmt numFmtId="3" formatCode="#,##0"/>
    </ndxf>
  </rcc>
  <rcc rId="486" sId="9" odxf="1" dxf="1">
    <nc r="O85">
      <f>'Hist. dane kwartalne'!AA85</f>
    </nc>
    <odxf>
      <numFmt numFmtId="0" formatCode="General"/>
    </odxf>
    <ndxf>
      <numFmt numFmtId="3" formatCode="#,##0"/>
    </ndxf>
  </rcc>
  <rcc rId="487" sId="9" odxf="1" dxf="1">
    <nc r="O86">
      <f>'Hist. dane kwartalne'!AA86</f>
    </nc>
    <odxf>
      <numFmt numFmtId="0" formatCode="General"/>
    </odxf>
    <ndxf>
      <numFmt numFmtId="3" formatCode="#,##0"/>
    </ndxf>
  </rcc>
  <rcc rId="488" sId="9" odxf="1" dxf="1">
    <nc r="O87">
      <f>'Hist. dane kwartalne'!AA87</f>
    </nc>
    <odxf>
      <numFmt numFmtId="0" formatCode="General"/>
    </odxf>
    <ndxf>
      <numFmt numFmtId="3" formatCode="#,##0"/>
    </ndxf>
  </rcc>
  <rcc rId="489" sId="9" odxf="1" dxf="1">
    <nc r="O88">
      <f>'Hist. dane kwartalne'!AA88</f>
    </nc>
    <odxf>
      <numFmt numFmtId="0" formatCode="General"/>
    </odxf>
    <ndxf>
      <numFmt numFmtId="3" formatCode="#,##0"/>
    </ndxf>
  </rcc>
  <rcc rId="490" sId="9" odxf="1" dxf="1">
    <nc r="O89">
      <f>'Hist. dane kwartalne'!AA89</f>
    </nc>
    <odxf>
      <numFmt numFmtId="0" formatCode="General"/>
    </odxf>
    <ndxf>
      <numFmt numFmtId="3" formatCode="#,##0"/>
    </ndxf>
  </rcc>
  <rcc rId="491" sId="9" odxf="1" dxf="1">
    <nc r="O90">
      <f>'Hist. dane kwartalne'!AA90</f>
    </nc>
    <odxf>
      <numFmt numFmtId="0" formatCode="General"/>
    </odxf>
    <ndxf>
      <numFmt numFmtId="3" formatCode="#,##0"/>
    </ndxf>
  </rcc>
  <rcc rId="492" sId="9" odxf="1" dxf="1">
    <nc r="O91">
      <f>'Hist. dane kwartalne'!AA91</f>
    </nc>
    <odxf>
      <numFmt numFmtId="0" formatCode="General"/>
    </odxf>
    <ndxf>
      <numFmt numFmtId="3" formatCode="#,##0"/>
    </ndxf>
  </rcc>
  <rcc rId="493" sId="9" odxf="1" dxf="1">
    <nc r="O92">
      <f>'Hist. dane kwartalne'!AA92</f>
    </nc>
    <odxf>
      <numFmt numFmtId="0" formatCode="General"/>
    </odxf>
    <ndxf>
      <numFmt numFmtId="3" formatCode="#,##0"/>
    </ndxf>
  </rcc>
  <rcc rId="494" sId="9" odxf="1" dxf="1">
    <nc r="O93">
      <f>'Hist. dane kwartalne'!AA93</f>
    </nc>
    <odxf>
      <numFmt numFmtId="0" formatCode="General"/>
    </odxf>
    <ndxf>
      <numFmt numFmtId="3" formatCode="#,##0"/>
    </ndxf>
  </rcc>
  <rcc rId="495" sId="9" odxf="1" dxf="1">
    <nc r="O94">
      <f>'Hist. dane kwartalne'!AA94</f>
    </nc>
    <odxf>
      <numFmt numFmtId="0" formatCode="General"/>
    </odxf>
    <ndxf>
      <numFmt numFmtId="3" formatCode="#,##0"/>
    </ndxf>
  </rcc>
  <rcc rId="496" sId="9" odxf="1" dxf="1">
    <nc r="O95">
      <f>'Hist. dane kwartalne'!AA95</f>
    </nc>
    <odxf>
      <numFmt numFmtId="0" formatCode="General"/>
    </odxf>
    <ndxf>
      <numFmt numFmtId="3" formatCode="#,##0"/>
    </ndxf>
  </rcc>
  <rcc rId="497" sId="9" odxf="1" dxf="1">
    <nc r="O96">
      <f>'Hist. dane kwartalne'!AA96</f>
    </nc>
    <odxf>
      <numFmt numFmtId="0" formatCode="General"/>
    </odxf>
    <ndxf>
      <numFmt numFmtId="3" formatCode="#,##0"/>
    </ndxf>
  </rcc>
  <rcc rId="498" sId="9" odxf="1" dxf="1">
    <nc r="O97">
      <f>'Hist. dane kwartalne'!AA97</f>
    </nc>
    <odxf>
      <numFmt numFmtId="0" formatCode="General"/>
    </odxf>
    <ndxf>
      <numFmt numFmtId="3" formatCode="#,##0"/>
    </ndxf>
  </rcc>
  <rcc rId="499" sId="9" odxf="1" dxf="1">
    <nc r="O98">
      <f>'Hist. dane kwartalne'!AA98</f>
    </nc>
    <odxf>
      <numFmt numFmtId="0" formatCode="General"/>
    </odxf>
    <ndxf>
      <numFmt numFmtId="3" formatCode="#,##0"/>
    </ndxf>
  </rcc>
  <rcc rId="500" sId="9" odxf="1" dxf="1">
    <nc r="O99">
      <f>'Hist. dane kwartalne'!AA99</f>
    </nc>
    <odxf>
      <numFmt numFmtId="0" formatCode="General"/>
    </odxf>
    <ndxf>
      <numFmt numFmtId="3" formatCode="#,##0"/>
    </ndxf>
  </rcc>
  <rcc rId="501" sId="9" odxf="1" dxf="1">
    <nc r="O100">
      <f>'Hist. dane kwartalne'!AA100</f>
    </nc>
    <odxf>
      <numFmt numFmtId="0" formatCode="General"/>
    </odxf>
    <ndxf>
      <numFmt numFmtId="3" formatCode="#,##0"/>
    </ndxf>
  </rcc>
  <rcc rId="502" sId="9" odxf="1" dxf="1">
    <nc r="O101">
      <f>'Hist. dane kwartalne'!AA101</f>
    </nc>
    <odxf>
      <numFmt numFmtId="0" formatCode="General"/>
    </odxf>
    <ndxf>
      <numFmt numFmtId="3" formatCode="#,##0"/>
    </ndxf>
  </rcc>
  <rcc rId="503" sId="9" odxf="1" dxf="1">
    <nc r="O102">
      <f>'Hist. dane kwartalne'!AA102</f>
    </nc>
    <odxf>
      <numFmt numFmtId="0" formatCode="General"/>
    </odxf>
    <ndxf>
      <numFmt numFmtId="3" formatCode="#,##0"/>
    </ndxf>
  </rcc>
  <rcc rId="504" sId="9">
    <oc r="N39" t="inlineStr">
      <is>
        <t>30 czerwca 2015</t>
      </is>
    </oc>
    <nc r="N39" t="inlineStr">
      <is>
        <t>30 czerwca 2016</t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5" sId="9">
    <oc r="O42">
      <f>'Hist. dane kwartalne'!AA42</f>
    </oc>
    <nc r="O42"/>
  </rcc>
  <rcc rId="506" sId="9">
    <oc r="O43">
      <f>'Hist. dane kwartalne'!AA43</f>
    </oc>
    <nc r="O43"/>
  </rcc>
  <rcc rId="507" sId="9">
    <oc r="O44">
      <f>'Hist. dane kwartalne'!AA44</f>
    </oc>
    <nc r="O44"/>
  </rcc>
  <rcc rId="508" sId="9">
    <oc r="O45">
      <f>'Hist. dane kwartalne'!AA45</f>
    </oc>
    <nc r="O45"/>
  </rcc>
  <rcc rId="509" sId="9">
    <oc r="O46">
      <f>'Hist. dane kwartalne'!AA46</f>
    </oc>
    <nc r="O46"/>
  </rcc>
  <rcc rId="510" sId="9">
    <oc r="O47">
      <f>'Hist. dane kwartalne'!AA47</f>
    </oc>
    <nc r="O47"/>
  </rcc>
  <rcc rId="511" sId="9">
    <oc r="O48">
      <f>'Hist. dane kwartalne'!AA48</f>
    </oc>
    <nc r="O48"/>
  </rcc>
  <rcc rId="512" sId="9">
    <oc r="O49">
      <f>'Hist. dane kwartalne'!AA49</f>
    </oc>
    <nc r="O49"/>
  </rcc>
  <rcc rId="513" sId="9">
    <oc r="O50">
      <f>'Hist. dane kwartalne'!AA50</f>
    </oc>
    <nc r="O50"/>
  </rcc>
  <rcc rId="514" sId="9">
    <oc r="O51">
      <f>'Hist. dane kwartalne'!AA51</f>
    </oc>
    <nc r="O51"/>
  </rcc>
  <rcc rId="515" sId="9">
    <oc r="O52">
      <f>'Hist. dane kwartalne'!AA52</f>
    </oc>
    <nc r="O52"/>
  </rcc>
  <rcc rId="516" sId="9">
    <oc r="O53">
      <f>'Hist. dane kwartalne'!AA53</f>
    </oc>
    <nc r="O53"/>
  </rcc>
  <rcc rId="517" sId="9">
    <oc r="O54">
      <f>'Hist. dane kwartalne'!AA54</f>
    </oc>
    <nc r="O54"/>
  </rcc>
  <rcc rId="518" sId="9">
    <oc r="O55">
      <f>'Hist. dane kwartalne'!AA55</f>
    </oc>
    <nc r="O55"/>
  </rcc>
  <rcc rId="519" sId="9">
    <oc r="O56">
      <f>'Hist. dane kwartalne'!AA56</f>
    </oc>
    <nc r="O56"/>
  </rcc>
  <rcc rId="520" sId="9">
    <oc r="O57">
      <f>'Hist. dane kwartalne'!AA57</f>
    </oc>
    <nc r="O57"/>
  </rcc>
  <rcc rId="521" sId="9">
    <oc r="O58">
      <f>'Hist. dane kwartalne'!AA58</f>
    </oc>
    <nc r="O58"/>
  </rcc>
  <rcc rId="522" sId="9">
    <oc r="O59">
      <f>'Hist. dane kwartalne'!AA59</f>
    </oc>
    <nc r="O59"/>
  </rcc>
  <rcc rId="523" sId="9">
    <oc r="O60">
      <f>'Hist. dane kwartalne'!AA60</f>
    </oc>
    <nc r="O60"/>
  </rcc>
  <rcc rId="524" sId="9">
    <oc r="O61">
      <f>'Hist. dane kwartalne'!AA61</f>
    </oc>
    <nc r="O61"/>
  </rcc>
  <rcc rId="525" sId="9">
    <oc r="O62">
      <f>'Hist. dane kwartalne'!AA62</f>
    </oc>
    <nc r="O62"/>
  </rcc>
  <rcc rId="526" sId="9">
    <oc r="O63">
      <f>'Hist. dane kwartalne'!AA63</f>
    </oc>
    <nc r="O63"/>
  </rcc>
  <rcc rId="527" sId="9">
    <oc r="O64">
      <f>'Hist. dane kwartalne'!AA64</f>
    </oc>
    <nc r="O64"/>
  </rcc>
  <rcc rId="528" sId="9">
    <oc r="O65">
      <f>'Hist. dane kwartalne'!AA65</f>
    </oc>
    <nc r="O65"/>
  </rcc>
  <rcc rId="529" sId="9">
    <oc r="O66">
      <f>'Hist. dane kwartalne'!AA66</f>
    </oc>
    <nc r="O66"/>
  </rcc>
  <rcc rId="530" sId="9">
    <oc r="O67">
      <f>'Hist. dane kwartalne'!AA67</f>
    </oc>
    <nc r="O67"/>
  </rcc>
  <rcc rId="531" sId="9">
    <oc r="O68">
      <f>'Hist. dane kwartalne'!AA68</f>
    </oc>
    <nc r="O68"/>
  </rcc>
  <rcc rId="532" sId="9">
    <oc r="O69">
      <f>'Hist. dane kwartalne'!AA69</f>
    </oc>
    <nc r="O69"/>
  </rcc>
  <rcc rId="533" sId="9">
    <oc r="O70">
      <f>'Hist. dane kwartalne'!AA70</f>
    </oc>
    <nc r="O70"/>
  </rcc>
  <rcc rId="534" sId="9">
    <oc r="O71">
      <f>'Hist. dane kwartalne'!AA71</f>
    </oc>
    <nc r="O71"/>
  </rcc>
  <rcc rId="535" sId="9">
    <oc r="O72">
      <f>'Hist. dane kwartalne'!AA72</f>
    </oc>
    <nc r="O72"/>
  </rcc>
  <rcc rId="536" sId="9">
    <oc r="O73">
      <f>'Hist. dane kwartalne'!AA73</f>
    </oc>
    <nc r="O73"/>
  </rcc>
  <rcc rId="537" sId="9">
    <oc r="O74">
      <f>'Hist. dane kwartalne'!AA74</f>
    </oc>
    <nc r="O74"/>
  </rcc>
  <rcc rId="538" sId="9">
    <oc r="O75">
      <f>'Hist. dane kwartalne'!AA75</f>
    </oc>
    <nc r="O75"/>
  </rcc>
  <rcc rId="539" sId="9">
    <oc r="O76">
      <f>'Hist. dane kwartalne'!AA76</f>
    </oc>
    <nc r="O76"/>
  </rcc>
  <rcc rId="540" sId="9">
    <oc r="O77">
      <f>'Hist. dane kwartalne'!AA77</f>
    </oc>
    <nc r="O77"/>
  </rcc>
  <rcc rId="541" sId="9">
    <oc r="O78">
      <f>'Hist. dane kwartalne'!AA78</f>
    </oc>
    <nc r="O78"/>
  </rcc>
  <rcc rId="542" sId="9">
    <oc r="O79">
      <f>'Hist. dane kwartalne'!AA79</f>
    </oc>
    <nc r="O79"/>
  </rcc>
  <rcc rId="543" sId="9">
    <oc r="O80">
      <f>'Hist. dane kwartalne'!AA80</f>
    </oc>
    <nc r="O80"/>
  </rcc>
  <rcc rId="544" sId="9">
    <oc r="O81">
      <f>'Hist. dane kwartalne'!AA81</f>
    </oc>
    <nc r="O81"/>
  </rcc>
  <rcc rId="545" sId="9">
    <oc r="O82">
      <f>'Hist. dane kwartalne'!AA82</f>
    </oc>
    <nc r="O82"/>
  </rcc>
  <rcc rId="546" sId="9">
    <oc r="O83">
      <f>'Hist. dane kwartalne'!AA83</f>
    </oc>
    <nc r="O83"/>
  </rcc>
  <rcc rId="547" sId="9">
    <oc r="O84">
      <f>'Hist. dane kwartalne'!AA84</f>
    </oc>
    <nc r="O84"/>
  </rcc>
  <rcc rId="548" sId="9">
    <oc r="O85">
      <f>'Hist. dane kwartalne'!AA85</f>
    </oc>
    <nc r="O85"/>
  </rcc>
  <rcc rId="549" sId="9">
    <oc r="O86">
      <f>'Hist. dane kwartalne'!AA86</f>
    </oc>
    <nc r="O86"/>
  </rcc>
  <rcc rId="550" sId="9">
    <oc r="O87">
      <f>'Hist. dane kwartalne'!AA87</f>
    </oc>
    <nc r="O87"/>
  </rcc>
  <rcc rId="551" sId="9">
    <oc r="O88">
      <f>'Hist. dane kwartalne'!AA88</f>
    </oc>
    <nc r="O88"/>
  </rcc>
  <rcc rId="552" sId="9">
    <oc r="O89">
      <f>'Hist. dane kwartalne'!AA89</f>
    </oc>
    <nc r="O89"/>
  </rcc>
  <rcc rId="553" sId="9">
    <oc r="O90">
      <f>'Hist. dane kwartalne'!AA90</f>
    </oc>
    <nc r="O90"/>
  </rcc>
  <rcc rId="554" sId="9">
    <oc r="O91">
      <f>'Hist. dane kwartalne'!AA91</f>
    </oc>
    <nc r="O91"/>
  </rcc>
  <rcc rId="555" sId="9">
    <oc r="O92">
      <f>'Hist. dane kwartalne'!AA92</f>
    </oc>
    <nc r="O92"/>
  </rcc>
  <rcc rId="556" sId="9">
    <oc r="O93">
      <f>'Hist. dane kwartalne'!AA93</f>
    </oc>
    <nc r="O93"/>
  </rcc>
  <rcc rId="557" sId="9">
    <oc r="O94">
      <f>'Hist. dane kwartalne'!AA94</f>
    </oc>
    <nc r="O94"/>
  </rcc>
  <rcc rId="558" sId="9">
    <oc r="O95">
      <f>'Hist. dane kwartalne'!AA95</f>
    </oc>
    <nc r="O95"/>
  </rcc>
  <rcc rId="559" sId="9">
    <oc r="O96">
      <f>'Hist. dane kwartalne'!AA96</f>
    </oc>
    <nc r="O96"/>
  </rcc>
  <rcc rId="560" sId="9">
    <oc r="O97">
      <f>'Hist. dane kwartalne'!AA97</f>
    </oc>
    <nc r="O97"/>
  </rcc>
  <rcc rId="561" sId="9">
    <oc r="O98">
      <f>'Hist. dane kwartalne'!AA98</f>
    </oc>
    <nc r="O98"/>
  </rcc>
  <rcc rId="562" sId="9">
    <oc r="O99">
      <f>'Hist. dane kwartalne'!AA99</f>
    </oc>
    <nc r="O99"/>
  </rcc>
  <rcc rId="563" sId="9">
    <oc r="O100">
      <f>'Hist. dane kwartalne'!AA100</f>
    </oc>
    <nc r="O100"/>
  </rcc>
  <rcc rId="564" sId="9">
    <oc r="O101">
      <f>'Hist. dane kwartalne'!AA101</f>
    </oc>
    <nc r="O101"/>
  </rcc>
  <rcc rId="565" sId="9">
    <oc r="O102">
      <f>'Hist. dane kwartalne'!AA102</f>
    </oc>
    <nc r="O102"/>
  </rcc>
  <rcc rId="566" sId="9" odxf="1" dxf="1">
    <nc r="O107">
      <f>'Hist. dane kwartalne'!Z107+'Hist. dane kwartalne'!AA107</f>
    </nc>
    <odxf>
      <numFmt numFmtId="0" formatCode="General"/>
    </odxf>
    <ndxf>
      <numFmt numFmtId="3" formatCode="#,##0"/>
    </ndxf>
  </rcc>
  <rcc rId="567" sId="9" odxf="1" dxf="1">
    <nc r="O108">
      <f>'Hist. dane kwartalne'!Z108+'Hist. dane kwartalne'!AA108</f>
    </nc>
    <odxf>
      <numFmt numFmtId="0" formatCode="General"/>
    </odxf>
    <ndxf>
      <numFmt numFmtId="3" formatCode="#,##0"/>
    </ndxf>
  </rcc>
  <rcc rId="568" sId="9" odxf="1" dxf="1">
    <nc r="O109">
      <f>'Hist. dane kwartalne'!Z109+'Hist. dane kwartalne'!AA109</f>
    </nc>
    <odxf>
      <numFmt numFmtId="0" formatCode="General"/>
    </odxf>
    <ndxf>
      <numFmt numFmtId="3" formatCode="#,##0"/>
    </ndxf>
  </rcc>
  <rcc rId="569" sId="9" odxf="1" dxf="1">
    <nc r="O110">
      <f>'Hist. dane kwartalne'!Z110+'Hist. dane kwartalne'!AA110</f>
    </nc>
    <odxf>
      <numFmt numFmtId="0" formatCode="General"/>
    </odxf>
    <ndxf>
      <numFmt numFmtId="3" formatCode="#,##0"/>
    </ndxf>
  </rcc>
  <rcc rId="570" sId="9" odxf="1" dxf="1">
    <nc r="O111">
      <f>'Hist. dane kwartalne'!Z111+'Hist. dane kwartalne'!AA111</f>
    </nc>
    <odxf>
      <numFmt numFmtId="0" formatCode="General"/>
    </odxf>
    <ndxf>
      <numFmt numFmtId="3" formatCode="#,##0"/>
    </ndxf>
  </rcc>
  <rcc rId="571" sId="9" odxf="1" dxf="1">
    <nc r="O112">
      <f>'Hist. dane kwartalne'!Z112+'Hist. dane kwartalne'!AA112</f>
    </nc>
    <odxf>
      <numFmt numFmtId="0" formatCode="General"/>
    </odxf>
    <ndxf>
      <numFmt numFmtId="3" formatCode="#,##0"/>
    </ndxf>
  </rcc>
  <rcc rId="572" sId="9" odxf="1" dxf="1">
    <nc r="O113">
      <f>'Hist. dane kwartalne'!Z113+'Hist. dane kwartalne'!AA113</f>
    </nc>
    <odxf>
      <numFmt numFmtId="0" formatCode="General"/>
    </odxf>
    <ndxf>
      <numFmt numFmtId="3" formatCode="#,##0"/>
    </ndxf>
  </rcc>
  <rcc rId="573" sId="9" odxf="1" dxf="1">
    <nc r="O114">
      <f>'Hist. dane kwartalne'!Z114+'Hist. dane kwartalne'!AA114</f>
    </nc>
    <odxf>
      <numFmt numFmtId="0" formatCode="General"/>
    </odxf>
    <ndxf>
      <numFmt numFmtId="3" formatCode="#,##0"/>
    </ndxf>
  </rcc>
  <rcc rId="574" sId="9" odxf="1" dxf="1">
    <nc r="O115">
      <f>'Hist. dane kwartalne'!Z115+'Hist. dane kwartalne'!AA115</f>
    </nc>
    <odxf>
      <numFmt numFmtId="0" formatCode="General"/>
    </odxf>
    <ndxf>
      <numFmt numFmtId="3" formatCode="#,##0"/>
    </ndxf>
  </rcc>
  <rcc rId="575" sId="9" odxf="1" dxf="1">
    <nc r="O116">
      <f>'Hist. dane kwartalne'!Z116+'Hist. dane kwartalne'!AA116</f>
    </nc>
    <odxf>
      <numFmt numFmtId="0" formatCode="General"/>
    </odxf>
    <ndxf>
      <numFmt numFmtId="3" formatCode="#,##0"/>
    </ndxf>
  </rcc>
  <rcc rId="576" sId="9" odxf="1" dxf="1">
    <nc r="O117">
      <f>'Hist. dane kwartalne'!Z117+'Hist. dane kwartalne'!AA117</f>
    </nc>
    <odxf>
      <numFmt numFmtId="0" formatCode="General"/>
    </odxf>
    <ndxf>
      <numFmt numFmtId="3" formatCode="#,##0"/>
    </ndxf>
  </rcc>
  <rcc rId="577" sId="9" odxf="1" dxf="1">
    <nc r="O118">
      <f>'Hist. dane kwartalne'!Z118+'Hist. dane kwartalne'!AA118</f>
    </nc>
    <odxf>
      <numFmt numFmtId="0" formatCode="General"/>
    </odxf>
    <ndxf>
      <numFmt numFmtId="3" formatCode="#,##0"/>
    </ndxf>
  </rcc>
  <rcc rId="578" sId="9" odxf="1" dxf="1">
    <nc r="O119">
      <f>'Hist. dane kwartalne'!Z119+'Hist. dane kwartalne'!AA119</f>
    </nc>
    <odxf>
      <numFmt numFmtId="0" formatCode="General"/>
    </odxf>
    <ndxf>
      <numFmt numFmtId="3" formatCode="#,##0"/>
    </ndxf>
  </rcc>
  <rcc rId="579" sId="9" odxf="1" dxf="1">
    <nc r="O120">
      <f>'Hist. dane kwartalne'!Z120+'Hist. dane kwartalne'!AA120</f>
    </nc>
    <odxf>
      <numFmt numFmtId="0" formatCode="General"/>
    </odxf>
    <ndxf>
      <numFmt numFmtId="3" formatCode="#,##0"/>
    </ndxf>
  </rcc>
  <rcc rId="580" sId="9" odxf="1" dxf="1">
    <nc r="O121">
      <f>'Hist. dane kwartalne'!Z121+'Hist. dane kwartalne'!AA121</f>
    </nc>
    <odxf>
      <numFmt numFmtId="0" formatCode="General"/>
    </odxf>
    <ndxf>
      <numFmt numFmtId="3" formatCode="#,##0"/>
    </ndxf>
  </rcc>
  <rcc rId="581" sId="9" odxf="1" dxf="1">
    <nc r="O122">
      <f>'Hist. dane kwartalne'!Z122+'Hist. dane kwartalne'!AA122</f>
    </nc>
    <odxf>
      <numFmt numFmtId="0" formatCode="General"/>
    </odxf>
    <ndxf>
      <numFmt numFmtId="3" formatCode="#,##0"/>
    </ndxf>
  </rcc>
  <rcc rId="582" sId="9" odxf="1" dxf="1">
    <nc r="O123">
      <f>'Hist. dane kwartalne'!Z123+'Hist. dane kwartalne'!AA123</f>
    </nc>
    <odxf>
      <numFmt numFmtId="0" formatCode="General"/>
    </odxf>
    <ndxf>
      <numFmt numFmtId="3" formatCode="#,##0"/>
    </ndxf>
  </rcc>
  <rcc rId="583" sId="9" odxf="1" dxf="1">
    <nc r="O124">
      <f>'Hist. dane kwartalne'!Z124+'Hist. dane kwartalne'!AA124</f>
    </nc>
    <odxf>
      <numFmt numFmtId="0" formatCode="General"/>
    </odxf>
    <ndxf>
      <numFmt numFmtId="3" formatCode="#,##0"/>
    </ndxf>
  </rcc>
  <rcc rId="584" sId="9" odxf="1" dxf="1">
    <nc r="O125">
      <f>'Hist. dane kwartalne'!Z125+'Hist. dane kwartalne'!AA125</f>
    </nc>
    <odxf>
      <numFmt numFmtId="0" formatCode="General"/>
    </odxf>
    <ndxf>
      <numFmt numFmtId="3" formatCode="#,##0"/>
    </ndxf>
  </rcc>
  <rcc rId="585" sId="9" odxf="1" dxf="1">
    <nc r="O126">
      <f>'Hist. dane kwartalne'!Z126+'Hist. dane kwartalne'!AA126</f>
    </nc>
    <odxf>
      <numFmt numFmtId="0" formatCode="General"/>
    </odxf>
    <ndxf>
      <numFmt numFmtId="3" formatCode="#,##0"/>
    </ndxf>
  </rcc>
  <rcc rId="586" sId="9" odxf="1" dxf="1">
    <nc r="O127">
      <f>'Hist. dane kwartalne'!Z127+'Hist. dane kwartalne'!AA127</f>
    </nc>
    <odxf>
      <numFmt numFmtId="0" formatCode="General"/>
    </odxf>
    <ndxf>
      <numFmt numFmtId="3" formatCode="#,##0"/>
    </ndxf>
  </rcc>
  <rcc rId="587" sId="9" odxf="1" dxf="1">
    <nc r="O128">
      <f>'Hist. dane kwartalne'!Z128+'Hist. dane kwartalne'!AA128</f>
    </nc>
    <odxf>
      <numFmt numFmtId="0" formatCode="General"/>
    </odxf>
    <ndxf>
      <numFmt numFmtId="3" formatCode="#,##0"/>
    </ndxf>
  </rcc>
  <rcc rId="588" sId="9" odxf="1" dxf="1">
    <nc r="O129">
      <f>'Hist. dane kwartalne'!Z129+'Hist. dane kwartalne'!AA129</f>
    </nc>
    <odxf>
      <numFmt numFmtId="0" formatCode="General"/>
    </odxf>
    <ndxf>
      <numFmt numFmtId="3" formatCode="#,##0"/>
    </ndxf>
  </rcc>
  <rcc rId="589" sId="9" odxf="1" dxf="1">
    <nc r="O130">
      <f>'Hist. dane kwartalne'!Z130+'Hist. dane kwartalne'!AA130</f>
    </nc>
    <odxf>
      <numFmt numFmtId="0" formatCode="General"/>
    </odxf>
    <ndxf>
      <numFmt numFmtId="3" formatCode="#,##0"/>
    </ndxf>
  </rcc>
  <rcc rId="590" sId="9" odxf="1" dxf="1">
    <nc r="O131">
      <f>'Hist. dane kwartalne'!Z131+'Hist. dane kwartalne'!AA131</f>
    </nc>
    <odxf>
      <numFmt numFmtId="0" formatCode="General"/>
    </odxf>
    <ndxf>
      <numFmt numFmtId="3" formatCode="#,##0"/>
    </ndxf>
  </rcc>
  <rcc rId="591" sId="9" odxf="1" dxf="1">
    <nc r="O132">
      <f>'Hist. dane kwartalne'!Z132+'Hist. dane kwartalne'!AA132</f>
    </nc>
    <odxf>
      <numFmt numFmtId="0" formatCode="General"/>
    </odxf>
    <ndxf>
      <numFmt numFmtId="3" formatCode="#,##0"/>
    </ndxf>
  </rcc>
  <rcc rId="592" sId="9" odxf="1" dxf="1">
    <nc r="O133">
      <f>'Hist. dane kwartalne'!Z133+'Hist. dane kwartalne'!AA133</f>
    </nc>
    <odxf>
      <numFmt numFmtId="0" formatCode="General"/>
    </odxf>
    <ndxf>
      <numFmt numFmtId="3" formatCode="#,##0"/>
    </ndxf>
  </rcc>
  <rcc rId="593" sId="9" odxf="1" dxf="1">
    <nc r="O134">
      <f>'Hist. dane kwartalne'!Z134+'Hist. dane kwartalne'!AA134</f>
    </nc>
    <odxf>
      <numFmt numFmtId="0" formatCode="General"/>
    </odxf>
    <ndxf>
      <numFmt numFmtId="3" formatCode="#,##0"/>
    </ndxf>
  </rcc>
  <rcc rId="594" sId="9" odxf="1" dxf="1">
    <nc r="O135">
      <f>'Hist. dane kwartalne'!Z135+'Hist. dane kwartalne'!AA135</f>
    </nc>
    <odxf>
      <numFmt numFmtId="0" formatCode="General"/>
    </odxf>
    <ndxf>
      <numFmt numFmtId="3" formatCode="#,##0"/>
    </ndxf>
  </rcc>
  <rcc rId="595" sId="9" odxf="1" dxf="1">
    <nc r="O136">
      <f>'Hist. dane kwartalne'!Z136+'Hist. dane kwartalne'!AA136</f>
    </nc>
    <odxf>
      <numFmt numFmtId="0" formatCode="General"/>
    </odxf>
    <ndxf>
      <numFmt numFmtId="3" formatCode="#,##0"/>
    </ndxf>
  </rcc>
  <rcc rId="596" sId="9" odxf="1" dxf="1">
    <nc r="O137">
      <f>'Hist. dane kwartalne'!Z137+'Hist. dane kwartalne'!AA137</f>
    </nc>
    <odxf>
      <numFmt numFmtId="0" formatCode="General"/>
    </odxf>
    <ndxf>
      <numFmt numFmtId="3" formatCode="#,##0"/>
    </ndxf>
  </rcc>
  <rcc rId="597" sId="9" odxf="1" dxf="1">
    <nc r="O138">
      <f>'Hist. dane kwartalne'!Z138+'Hist. dane kwartalne'!AA138</f>
    </nc>
    <odxf>
      <numFmt numFmtId="0" formatCode="General"/>
    </odxf>
    <ndxf>
      <numFmt numFmtId="3" formatCode="#,##0"/>
    </ndxf>
  </rcc>
  <rcc rId="598" sId="9" odxf="1" dxf="1">
    <nc r="O139">
      <f>'Hist. dane kwartalne'!Z139+'Hist. dane kwartalne'!AA139</f>
    </nc>
    <odxf>
      <numFmt numFmtId="0" formatCode="General"/>
    </odxf>
    <ndxf>
      <numFmt numFmtId="3" formatCode="#,##0"/>
    </ndxf>
  </rcc>
  <rcc rId="599" sId="9" odxf="1" dxf="1">
    <nc r="O140">
      <f>'Hist. dane kwartalne'!Z140+'Hist. dane kwartalne'!AA140</f>
    </nc>
    <odxf>
      <numFmt numFmtId="0" formatCode="General"/>
    </odxf>
    <ndxf>
      <numFmt numFmtId="3" formatCode="#,##0"/>
    </ndxf>
  </rcc>
  <rcc rId="600" sId="9" odxf="1" dxf="1">
    <nc r="O141">
      <f>'Hist. dane kwartalne'!Z141+'Hist. dane kwartalne'!AA141</f>
    </nc>
    <odxf>
      <numFmt numFmtId="0" formatCode="General"/>
    </odxf>
    <ndxf>
      <numFmt numFmtId="3" formatCode="#,##0"/>
    </ndxf>
  </rcc>
  <rcc rId="601" sId="9" odxf="1" dxf="1">
    <nc r="O142">
      <f>'Hist. dane kwartalne'!Z142+'Hist. dane kwartalne'!AA142</f>
    </nc>
    <odxf>
      <numFmt numFmtId="0" formatCode="General"/>
    </odxf>
    <ndxf>
      <numFmt numFmtId="3" formatCode="#,##0"/>
    </ndxf>
  </rcc>
  <rcc rId="602" sId="9" odxf="1" dxf="1">
    <nc r="O143">
      <f>'Hist. dane kwartalne'!Z143+'Hist. dane kwartalne'!AA143</f>
    </nc>
    <odxf>
      <numFmt numFmtId="0" formatCode="General"/>
    </odxf>
    <ndxf>
      <numFmt numFmtId="3" formatCode="#,##0"/>
    </ndxf>
  </rcc>
  <rcc rId="603" sId="9" odxf="1" dxf="1">
    <nc r="O144">
      <f>'Hist. dane kwartalne'!Z144+'Hist. dane kwartalne'!AA144</f>
    </nc>
    <odxf>
      <numFmt numFmtId="0" formatCode="General"/>
    </odxf>
    <ndxf>
      <numFmt numFmtId="3" formatCode="#,##0"/>
    </ndxf>
  </rcc>
  <rcc rId="604" sId="9" odxf="1" dxf="1">
    <nc r="O145">
      <f>'Hist. dane kwartalne'!Z145+'Hist. dane kwartalne'!AA145</f>
    </nc>
    <odxf>
      <numFmt numFmtId="0" formatCode="General"/>
    </odxf>
    <ndxf>
      <numFmt numFmtId="3" formatCode="#,##0"/>
    </ndxf>
  </rcc>
  <rcc rId="605" sId="9" odxf="1" dxf="1">
    <nc r="O146">
      <f>'Hist. dane kwartalne'!Z146+'Hist. dane kwartalne'!AA146</f>
    </nc>
    <odxf>
      <numFmt numFmtId="0" formatCode="General"/>
    </odxf>
    <ndxf>
      <numFmt numFmtId="3" formatCode="#,##0"/>
    </ndxf>
  </rcc>
  <rcc rId="606" sId="9" odxf="1" dxf="1">
    <nc r="O147">
      <f>'Hist. dane kwartalne'!Z147+'Hist. dane kwartalne'!AA147</f>
    </nc>
    <odxf>
      <numFmt numFmtId="0" formatCode="General"/>
    </odxf>
    <ndxf>
      <numFmt numFmtId="3" formatCode="#,##0"/>
    </ndxf>
  </rcc>
  <rcc rId="607" sId="9" odxf="1" dxf="1">
    <nc r="O148">
      <f>'Hist. dane kwartalne'!Z148+'Hist. dane kwartalne'!AA148</f>
    </nc>
    <odxf>
      <numFmt numFmtId="0" formatCode="General"/>
    </odxf>
    <ndxf>
      <numFmt numFmtId="3" formatCode="#,##0"/>
    </ndxf>
  </rcc>
  <rcc rId="608" sId="9" odxf="1" dxf="1">
    <nc r="O149">
      <f>'Hist. dane kwartalne'!Z149+'Hist. dane kwartalne'!AA149</f>
    </nc>
    <odxf>
      <numFmt numFmtId="0" formatCode="General"/>
    </odxf>
    <ndxf>
      <numFmt numFmtId="3" formatCode="#,##0"/>
    </ndxf>
  </rcc>
  <rcc rId="609" sId="9" odxf="1" dxf="1">
    <nc r="O150">
      <f>'Hist. dane kwartalne'!Z150+'Hist. dane kwartalne'!AA150</f>
    </nc>
    <odxf>
      <numFmt numFmtId="0" formatCode="General"/>
    </odxf>
    <ndxf>
      <numFmt numFmtId="3" formatCode="#,##0"/>
    </ndxf>
  </rcc>
  <rcc rId="610" sId="9" odxf="1" dxf="1">
    <nc r="O151">
      <f>'Hist. dane kwartalne'!Z151+'Hist. dane kwartalne'!AA151</f>
    </nc>
    <odxf>
      <numFmt numFmtId="0" formatCode="General"/>
    </odxf>
    <ndxf>
      <numFmt numFmtId="3" formatCode="#,##0"/>
    </ndxf>
  </rcc>
  <rcc rId="611" sId="9" odxf="1" dxf="1">
    <nc r="O152">
      <f>'Hist. dane kwartalne'!Z152+'Hist. dane kwartalne'!AA152</f>
    </nc>
    <odxf>
      <numFmt numFmtId="0" formatCode="General"/>
    </odxf>
    <ndxf>
      <numFmt numFmtId="3" formatCode="#,##0"/>
    </ndxf>
  </rcc>
  <rcc rId="612" sId="9" odxf="1" dxf="1">
    <nc r="O153">
      <f>'Hist. dane kwartalne'!Z153+'Hist. dane kwartalne'!AA153</f>
    </nc>
    <odxf>
      <numFmt numFmtId="0" formatCode="General"/>
    </odxf>
    <ndxf>
      <numFmt numFmtId="3" formatCode="#,##0"/>
    </ndxf>
  </rcc>
  <rcc rId="613" sId="9" odxf="1" dxf="1">
    <nc r="O154">
      <f>'Hist. dane kwartalne'!Z154+'Hist. dane kwartalne'!AA154</f>
    </nc>
    <odxf>
      <numFmt numFmtId="0" formatCode="General"/>
    </odxf>
    <ndxf>
      <numFmt numFmtId="3" formatCode="#,##0"/>
    </ndxf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4" sId="9" numFmtId="34">
    <nc r="N113">
      <v>682346</v>
    </nc>
  </rcc>
  <rfmt sheetId="7" sqref="C6">
    <dxf>
      <fill>
        <patternFill>
          <bgColor rgb="FFFFFF00"/>
        </patternFill>
      </fill>
    </dxf>
  </rfmt>
  <rfmt sheetId="7" sqref="C4:C5">
    <dxf>
      <fill>
        <patternFill>
          <bgColor rgb="FFFFFF00"/>
        </patternFill>
      </fill>
    </dxf>
  </rfmt>
  <rfmt sheetId="7" sqref="C8">
    <dxf>
      <fill>
        <patternFill>
          <bgColor rgb="FFFFFF00"/>
        </patternFill>
      </fill>
    </dxf>
  </rfmt>
  <rfmt sheetId="7" sqref="C10">
    <dxf>
      <fill>
        <patternFill>
          <bgColor rgb="FFFFFF00"/>
        </patternFill>
      </fill>
    </dxf>
  </rfmt>
  <rfmt sheetId="7" sqref="C11">
    <dxf>
      <fill>
        <patternFill>
          <bgColor rgb="FFFFFF00"/>
        </patternFill>
      </fill>
    </dxf>
  </rfmt>
  <rcc rId="615" sId="9">
    <oc r="P112">
      <f>N112</f>
    </oc>
    <nc r="P112">
      <f>N112-'Rach. przepływów pieniężnych'!C8</f>
    </nc>
  </rcc>
  <rfmt sheetId="9" sqref="P112">
    <dxf>
      <fill>
        <patternFill>
          <bgColor theme="0"/>
        </patternFill>
      </fill>
    </dxf>
  </rfmt>
  <rcc rId="616" sId="9" odxf="1" dxf="1">
    <nc r="Q121">
      <f>N111+N113+N121-'Rach. przepływów pieniężnych'!C7-'Rach. przepływów pieniężnych'!C9</f>
    </nc>
    <odxf>
      <numFmt numFmtId="0" formatCode="General"/>
    </odxf>
    <ndxf>
      <numFmt numFmtId="171" formatCode="_-* #,##0&quot;   &quot;;[Red]\(#,##0\)&quot;  &quot;;&quot;-   &quot;"/>
    </ndxf>
  </rcc>
  <rcc rId="617" sId="9">
    <oc r="P111">
      <f>N111</f>
    </oc>
    <nc r="P111"/>
  </rcc>
  <rcc rId="618" sId="9">
    <oc r="P113">
      <f>N113</f>
    </oc>
    <nc r="P113"/>
  </rcc>
  <rcc rId="619" sId="9">
    <oc r="P121">
      <f>N121</f>
    </oc>
    <nc r="P121"/>
  </rcc>
  <rfmt sheetId="9" sqref="Q121">
    <dxf>
      <fill>
        <patternFill>
          <bgColor rgb="FFFFFF00"/>
        </patternFill>
      </fill>
    </dxf>
  </rfmt>
  <rfmt sheetId="7" sqref="C4:C11">
    <dxf>
      <fill>
        <patternFill>
          <bgColor theme="0"/>
        </patternFill>
      </fill>
    </dxf>
  </rfmt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R107" start="0" length="0">
    <dxf>
      <numFmt numFmtId="171" formatCode="_-* #,##0&quot;   &quot;;[Red]\(#,##0\)&quot;  &quot;;&quot;-   &quot;"/>
    </dxf>
  </rfmt>
  <rfmt sheetId="9" sqref="R108" start="0" length="0">
    <dxf>
      <numFmt numFmtId="171" formatCode="_-* #,##0&quot;   &quot;;[Red]\(#,##0\)&quot;  &quot;;&quot;-   &quot;"/>
    </dxf>
  </rfmt>
  <rfmt sheetId="9" sqref="R109" start="0" length="0">
    <dxf>
      <numFmt numFmtId="171" formatCode="_-* #,##0&quot;   &quot;;[Red]\(#,##0\)&quot;  &quot;;&quot;-   &quot;"/>
    </dxf>
  </rfmt>
  <rfmt sheetId="9" sqref="R110" start="0" length="0">
    <dxf>
      <numFmt numFmtId="171" formatCode="_-* #,##0&quot;   &quot;;[Red]\(#,##0\)&quot;  &quot;;&quot;-   &quot;"/>
    </dxf>
  </rfmt>
  <rfmt sheetId="9" sqref="R111" start="0" length="0">
    <dxf>
      <numFmt numFmtId="171" formatCode="_-* #,##0&quot;   &quot;;[Red]\(#,##0\)&quot;  &quot;;&quot;-   &quot;"/>
    </dxf>
  </rfmt>
  <rfmt sheetId="9" sqref="R112" start="0" length="0">
    <dxf>
      <numFmt numFmtId="171" formatCode="_-* #,##0&quot;   &quot;;[Red]\(#,##0\)&quot;  &quot;;&quot;-   &quot;"/>
    </dxf>
  </rfmt>
  <rfmt sheetId="9" sqref="R113" start="0" length="0">
    <dxf>
      <numFmt numFmtId="171" formatCode="_-* #,##0&quot;   &quot;;[Red]\(#,##0\)&quot;  &quot;;&quot;-   &quot;"/>
    </dxf>
  </rfmt>
  <rfmt sheetId="9" sqref="R114" start="0" length="0">
    <dxf>
      <numFmt numFmtId="171" formatCode="_-* #,##0&quot;   &quot;;[Red]\(#,##0\)&quot;  &quot;;&quot;-   &quot;"/>
    </dxf>
  </rfmt>
  <rfmt sheetId="9" sqref="R115" start="0" length="0">
    <dxf>
      <numFmt numFmtId="171" formatCode="_-* #,##0&quot;   &quot;;[Red]\(#,##0\)&quot;  &quot;;&quot;-   &quot;"/>
    </dxf>
  </rfmt>
  <rfmt sheetId="9" sqref="R116" start="0" length="0">
    <dxf>
      <numFmt numFmtId="171" formatCode="_-* #,##0&quot;   &quot;;[Red]\(#,##0\)&quot;  &quot;;&quot;-   &quot;"/>
    </dxf>
  </rfmt>
  <rfmt sheetId="9" sqref="R117" start="0" length="0">
    <dxf>
      <numFmt numFmtId="171" formatCode="_-* #,##0&quot;   &quot;;[Red]\(#,##0\)&quot;  &quot;;&quot;-   &quot;"/>
    </dxf>
  </rfmt>
  <rfmt sheetId="9" sqref="R118" start="0" length="0">
    <dxf>
      <numFmt numFmtId="171" formatCode="_-* #,##0&quot;   &quot;;[Red]\(#,##0\)&quot;  &quot;;&quot;-   &quot;"/>
    </dxf>
  </rfmt>
  <rfmt sheetId="9" sqref="R119" start="0" length="0">
    <dxf>
      <numFmt numFmtId="171" formatCode="_-* #,##0&quot;   &quot;;[Red]\(#,##0\)&quot;  &quot;;&quot;-   &quot;"/>
    </dxf>
  </rfmt>
  <rfmt sheetId="9" sqref="R120" start="0" length="0">
    <dxf>
      <numFmt numFmtId="171" formatCode="_-* #,##0&quot;   &quot;;[Red]\(#,##0\)&quot;  &quot;;&quot;-   &quot;"/>
    </dxf>
  </rfmt>
  <rfmt sheetId="9" sqref="R121" start="0" length="0">
    <dxf>
      <numFmt numFmtId="171" formatCode="_-* #,##0&quot;   &quot;;[Red]\(#,##0\)&quot;  &quot;;&quot;-   &quot;"/>
    </dxf>
  </rfmt>
  <rfmt sheetId="9" sqref="R122" start="0" length="0">
    <dxf>
      <numFmt numFmtId="171" formatCode="_-* #,##0&quot;   &quot;;[Red]\(#,##0\)&quot;  &quot;;&quot;-   &quot;"/>
    </dxf>
  </rfmt>
  <rfmt sheetId="9" sqref="R123" start="0" length="0">
    <dxf>
      <numFmt numFmtId="171" formatCode="_-* #,##0&quot;   &quot;;[Red]\(#,##0\)&quot;  &quot;;&quot;-   &quot;"/>
    </dxf>
  </rfmt>
  <rfmt sheetId="9" sqref="R124" start="0" length="0">
    <dxf>
      <numFmt numFmtId="171" formatCode="_-* #,##0&quot;   &quot;;[Red]\(#,##0\)&quot;  &quot;;&quot;-   &quot;"/>
    </dxf>
  </rfmt>
  <rfmt sheetId="9" sqref="R125" start="0" length="0">
    <dxf>
      <numFmt numFmtId="171" formatCode="_-* #,##0&quot;   &quot;;[Red]\(#,##0\)&quot;  &quot;;&quot;-   &quot;"/>
    </dxf>
  </rfmt>
  <rfmt sheetId="9" sqref="R126" start="0" length="0">
    <dxf>
      <numFmt numFmtId="171" formatCode="_-* #,##0&quot;   &quot;;[Red]\(#,##0\)&quot;  &quot;;&quot;-   &quot;"/>
    </dxf>
  </rfmt>
  <rfmt sheetId="9" sqref="R127" start="0" length="0">
    <dxf>
      <numFmt numFmtId="171" formatCode="_-* #,##0&quot;   &quot;;[Red]\(#,##0\)&quot;  &quot;;&quot;-   &quot;"/>
    </dxf>
  </rfmt>
  <rfmt sheetId="9" sqref="R128" start="0" length="0">
    <dxf>
      <numFmt numFmtId="171" formatCode="_-* #,##0&quot;   &quot;;[Red]\(#,##0\)&quot;  &quot;;&quot;-   &quot;"/>
    </dxf>
  </rfmt>
  <rfmt sheetId="9" sqref="R129" start="0" length="0">
    <dxf>
      <numFmt numFmtId="171" formatCode="_-* #,##0&quot;   &quot;;[Red]\(#,##0\)&quot;  &quot;;&quot;-   &quot;"/>
    </dxf>
  </rfmt>
  <rfmt sheetId="9" sqref="R130" start="0" length="0">
    <dxf>
      <numFmt numFmtId="171" formatCode="_-* #,##0&quot;   &quot;;[Red]\(#,##0\)&quot;  &quot;;&quot;-   &quot;"/>
    </dxf>
  </rfmt>
  <rfmt sheetId="9" sqref="R131" start="0" length="0">
    <dxf>
      <numFmt numFmtId="171" formatCode="_-* #,##0&quot;   &quot;;[Red]\(#,##0\)&quot;  &quot;;&quot;-   &quot;"/>
    </dxf>
  </rfmt>
  <rfmt sheetId="9" sqref="R132" start="0" length="0">
    <dxf>
      <numFmt numFmtId="171" formatCode="_-* #,##0&quot;   &quot;;[Red]\(#,##0\)&quot;  &quot;;&quot;-   &quot;"/>
    </dxf>
  </rfmt>
  <rfmt sheetId="9" sqref="R133" start="0" length="0">
    <dxf>
      <numFmt numFmtId="171" formatCode="_-* #,##0&quot;   &quot;;[Red]\(#,##0\)&quot;  &quot;;&quot;-   &quot;"/>
    </dxf>
  </rfmt>
  <rfmt sheetId="9" sqref="R134" start="0" length="0">
    <dxf>
      <numFmt numFmtId="171" formatCode="_-* #,##0&quot;   &quot;;[Red]\(#,##0\)&quot;  &quot;;&quot;-   &quot;"/>
    </dxf>
  </rfmt>
  <rfmt sheetId="9" sqref="R135" start="0" length="0">
    <dxf>
      <numFmt numFmtId="171" formatCode="_-* #,##0&quot;   &quot;;[Red]\(#,##0\)&quot;  &quot;;&quot;-   &quot;"/>
    </dxf>
  </rfmt>
  <rfmt sheetId="9" sqref="R136" start="0" length="0">
    <dxf>
      <numFmt numFmtId="171" formatCode="_-* #,##0&quot;   &quot;;[Red]\(#,##0\)&quot;  &quot;;&quot;-   &quot;"/>
    </dxf>
  </rfmt>
  <rfmt sheetId="9" sqref="R137" start="0" length="0">
    <dxf>
      <numFmt numFmtId="171" formatCode="_-* #,##0&quot;   &quot;;[Red]\(#,##0\)&quot;  &quot;;&quot;-   &quot;"/>
    </dxf>
  </rfmt>
  <rfmt sheetId="9" sqref="R138" start="0" length="0">
    <dxf>
      <numFmt numFmtId="171" formatCode="_-* #,##0&quot;   &quot;;[Red]\(#,##0\)&quot;  &quot;;&quot;-   &quot;"/>
    </dxf>
  </rfmt>
  <rfmt sheetId="9" sqref="R139" start="0" length="0">
    <dxf>
      <numFmt numFmtId="171" formatCode="_-* #,##0&quot;   &quot;;[Red]\(#,##0\)&quot;  &quot;;&quot;-   &quot;"/>
    </dxf>
  </rfmt>
  <rfmt sheetId="9" sqref="R140" start="0" length="0">
    <dxf>
      <numFmt numFmtId="171" formatCode="_-* #,##0&quot;   &quot;;[Red]\(#,##0\)&quot;  &quot;;&quot;-   &quot;"/>
    </dxf>
  </rfmt>
  <rfmt sheetId="9" sqref="R141" start="0" length="0">
    <dxf>
      <numFmt numFmtId="171" formatCode="_-* #,##0&quot;   &quot;;[Red]\(#,##0\)&quot;  &quot;;&quot;-   &quot;"/>
    </dxf>
  </rfmt>
  <rfmt sheetId="9" sqref="R142" start="0" length="0">
    <dxf>
      <numFmt numFmtId="171" formatCode="_-* #,##0&quot;   &quot;;[Red]\(#,##0\)&quot;  &quot;;&quot;-   &quot;"/>
    </dxf>
  </rfmt>
  <rfmt sheetId="9" sqref="R143" start="0" length="0">
    <dxf>
      <numFmt numFmtId="171" formatCode="_-* #,##0&quot;   &quot;;[Red]\(#,##0\)&quot;  &quot;;&quot;-   &quot;"/>
    </dxf>
  </rfmt>
  <rfmt sheetId="9" sqref="R144" start="0" length="0">
    <dxf>
      <numFmt numFmtId="171" formatCode="_-* #,##0&quot;   &quot;;[Red]\(#,##0\)&quot;  &quot;;&quot;-   &quot;"/>
    </dxf>
  </rfmt>
  <rfmt sheetId="9" sqref="R145" start="0" length="0">
    <dxf>
      <numFmt numFmtId="171" formatCode="_-* #,##0&quot;   &quot;;[Red]\(#,##0\)&quot;  &quot;;&quot;-   &quot;"/>
    </dxf>
  </rfmt>
  <rfmt sheetId="9" sqref="R146" start="0" length="0">
    <dxf>
      <numFmt numFmtId="171" formatCode="_-* #,##0&quot;   &quot;;[Red]\(#,##0\)&quot;  &quot;;&quot;-   &quot;"/>
    </dxf>
  </rfmt>
  <rfmt sheetId="9" sqref="R147" start="0" length="0">
    <dxf>
      <numFmt numFmtId="171" formatCode="_-* #,##0&quot;   &quot;;[Red]\(#,##0\)&quot;  &quot;;&quot;-   &quot;"/>
    </dxf>
  </rfmt>
  <rfmt sheetId="9" sqref="R148" start="0" length="0">
    <dxf>
      <numFmt numFmtId="171" formatCode="_-* #,##0&quot;   &quot;;[Red]\(#,##0\)&quot;  &quot;;&quot;-   &quot;"/>
    </dxf>
  </rfmt>
  <rfmt sheetId="9" sqref="R149" start="0" length="0">
    <dxf>
      <numFmt numFmtId="171" formatCode="_-* #,##0&quot;   &quot;;[Red]\(#,##0\)&quot;  &quot;;&quot;-   &quot;"/>
    </dxf>
  </rfmt>
  <rfmt sheetId="9" sqref="R150" start="0" length="0">
    <dxf>
      <numFmt numFmtId="171" formatCode="_-* #,##0&quot;   &quot;;[Red]\(#,##0\)&quot;  &quot;;&quot;-   &quot;"/>
    </dxf>
  </rfmt>
  <rfmt sheetId="9" sqref="R151" start="0" length="0">
    <dxf>
      <numFmt numFmtId="171" formatCode="_-* #,##0&quot;   &quot;;[Red]\(#,##0\)&quot;  &quot;;&quot;-   &quot;"/>
    </dxf>
  </rfmt>
  <rfmt sheetId="9" sqref="R152" start="0" length="0">
    <dxf>
      <numFmt numFmtId="171" formatCode="_-* #,##0&quot;   &quot;;[Red]\(#,##0\)&quot;  &quot;;&quot;-   &quot;"/>
    </dxf>
  </rfmt>
  <rfmt sheetId="9" sqref="R153" start="0" length="0">
    <dxf>
      <numFmt numFmtId="171" formatCode="_-* #,##0&quot;   &quot;;[Red]\(#,##0\)&quot;  &quot;;&quot;-   &quot;"/>
    </dxf>
  </rfmt>
  <rfmt sheetId="9" sqref="R154" start="0" length="0">
    <dxf>
      <numFmt numFmtId="171" formatCode="_-* #,##0&quot;   &quot;;[Red]\(#,##0\)&quot;  &quot;;&quot;-   &quot;"/>
    </dxf>
  </rfmt>
  <rcc rId="620" sId="8" odxf="1" dxf="1" numFmtId="4">
    <oc r="AA144">
      <v>0</v>
    </oc>
    <nc r="AA144">
      <v>-1</v>
    </nc>
    <ndxf>
      <numFmt numFmtId="164" formatCode="#,##0_);[Red]\(#,##0\)"/>
    </ndxf>
  </rcc>
  <rcc rId="621" sId="8">
    <oc r="AA148">
      <f>15137-Z148</f>
    </oc>
    <nc r="AA148">
      <f>15138-Z148</f>
    </nc>
  </rcc>
  <rfmt sheetId="9" sqref="N107">
    <dxf>
      <fill>
        <patternFill>
          <bgColor theme="6" tint="0.39997558519241921"/>
        </patternFill>
      </fill>
    </dxf>
  </rfmt>
  <rfmt sheetId="9" sqref="N109">
    <dxf>
      <fill>
        <patternFill>
          <bgColor theme="6" tint="0.39997558519241921"/>
        </patternFill>
      </fill>
    </dxf>
  </rfmt>
  <rfmt sheetId="9" sqref="N110">
    <dxf>
      <fill>
        <patternFill>
          <bgColor theme="6" tint="0.39997558519241921"/>
        </patternFill>
      </fill>
    </dxf>
  </rfmt>
  <rfmt sheetId="9" sqref="N111">
    <dxf>
      <fill>
        <patternFill>
          <bgColor theme="6" tint="0.39997558519241921"/>
        </patternFill>
      </fill>
    </dxf>
  </rfmt>
  <rfmt sheetId="9" sqref="N112">
    <dxf>
      <fill>
        <patternFill>
          <bgColor theme="6" tint="0.39997558519241921"/>
        </patternFill>
      </fill>
    </dxf>
  </rfmt>
  <rfmt sheetId="9" sqref="N113">
    <dxf>
      <fill>
        <patternFill>
          <bgColor theme="0"/>
        </patternFill>
      </fill>
    </dxf>
  </rfmt>
  <rfmt sheetId="9" sqref="N113">
    <dxf>
      <fill>
        <patternFill>
          <bgColor theme="2" tint="-9.9978637043366805E-2"/>
        </patternFill>
      </fill>
    </dxf>
  </rfmt>
  <rfmt sheetId="9" sqref="N114:N119">
    <dxf>
      <fill>
        <patternFill>
          <bgColor theme="2" tint="-9.9978637043366805E-2"/>
        </patternFill>
      </fill>
    </dxf>
  </rfmt>
  <rfmt sheetId="9" sqref="N120">
    <dxf>
      <fill>
        <patternFill>
          <bgColor theme="2" tint="-9.9978637043366805E-2"/>
        </patternFill>
      </fill>
    </dxf>
  </rfmt>
  <rfmt sheetId="8" sqref="AA113">
    <dxf>
      <fill>
        <patternFill>
          <bgColor theme="8" tint="0.39997558519241921"/>
        </patternFill>
      </fill>
    </dxf>
  </rfmt>
  <rfmt sheetId="8" sqref="AA136">
    <dxf>
      <fill>
        <patternFill>
          <bgColor theme="8" tint="0.39997558519241921"/>
        </patternFill>
      </fill>
    </dxf>
  </rfmt>
  <rfmt sheetId="9" sqref="N121">
    <dxf>
      <fill>
        <patternFill>
          <bgColor theme="6" tint="0.39997558519241921"/>
        </patternFill>
      </fill>
    </dxf>
  </rfmt>
  <rfmt sheetId="9" sqref="N122">
    <dxf>
      <fill>
        <patternFill>
          <bgColor theme="6" tint="0.39997558519241921"/>
        </patternFill>
      </fill>
    </dxf>
  </rfmt>
  <rfmt sheetId="9" sqref="N125">
    <dxf>
      <fill>
        <patternFill>
          <bgColor theme="6" tint="0.39997558519241921"/>
        </patternFill>
      </fill>
    </dxf>
  </rfmt>
  <rfmt sheetId="9" sqref="N136">
    <dxf>
      <fill>
        <patternFill>
          <bgColor theme="6" tint="0.39997558519241921"/>
        </patternFill>
      </fill>
    </dxf>
  </rfmt>
  <rcmt sheetId="9" cell="N136" guid="{00000000-0000-0000-0000-000000000000}" action="delete" author="Otto Sonia"/>
  <rfmt sheetId="9" sqref="N129">
    <dxf>
      <fill>
        <patternFill>
          <bgColor theme="6" tint="0.39997558519241921"/>
        </patternFill>
      </fill>
    </dxf>
  </rfmt>
  <rfmt sheetId="9" sqref="N135">
    <dxf>
      <fill>
        <patternFill>
          <bgColor theme="6" tint="0.39997558519241921"/>
        </patternFill>
      </fill>
    </dxf>
  </rfmt>
  <rfmt sheetId="9" sqref="N124">
    <dxf>
      <fill>
        <patternFill>
          <bgColor theme="6" tint="0.39997558519241921"/>
        </patternFill>
      </fill>
    </dxf>
  </rfmt>
  <rfmt sheetId="9" sqref="N134">
    <dxf>
      <fill>
        <patternFill>
          <bgColor theme="6" tint="0.39997558519241921"/>
        </patternFill>
      </fill>
    </dxf>
  </rfmt>
  <rfmt sheetId="9" sqref="N126">
    <dxf>
      <fill>
        <patternFill>
          <bgColor theme="6" tint="0.39997558519241921"/>
        </patternFill>
      </fill>
    </dxf>
  </rfmt>
  <rfmt sheetId="9" sqref="N127 N132 N133">
    <dxf>
      <fill>
        <patternFill>
          <bgColor theme="6" tint="0.39997558519241921"/>
        </patternFill>
      </fill>
    </dxf>
  </rfmt>
  <rfmt sheetId="9" sqref="N137">
    <dxf>
      <fill>
        <patternFill>
          <bgColor theme="6" tint="0.39997558519241921"/>
        </patternFill>
      </fill>
    </dxf>
  </rfmt>
  <rcmt sheetId="9" cell="N148" guid="{00000000-0000-0000-0000-000000000000}" action="delete" author="Otto Sonia"/>
  <rfmt sheetId="9" sqref="N143">
    <dxf>
      <fill>
        <patternFill>
          <bgColor theme="6" tint="0.39997558519241921"/>
        </patternFill>
      </fill>
    </dxf>
  </rfmt>
  <rfmt sheetId="9" sqref="N141">
    <dxf>
      <fill>
        <patternFill>
          <bgColor theme="6" tint="0.39997558519241921"/>
        </patternFill>
      </fill>
    </dxf>
  </rfmt>
  <rfmt sheetId="9" sqref="N146">
    <dxf>
      <fill>
        <patternFill>
          <bgColor theme="6" tint="0.39997558519241921"/>
        </patternFill>
      </fill>
    </dxf>
  </rfmt>
  <rfmt sheetId="9" sqref="N142">
    <dxf>
      <fill>
        <patternFill>
          <bgColor theme="6" tint="0.39997558519241921"/>
        </patternFill>
      </fill>
    </dxf>
  </rfmt>
  <rfmt sheetId="9" sqref="N140">
    <dxf>
      <fill>
        <patternFill>
          <bgColor theme="6" tint="0.39997558519241921"/>
        </patternFill>
      </fill>
    </dxf>
  </rfmt>
  <rfmt sheetId="8" sqref="AA144:AA145">
    <dxf>
      <fill>
        <patternFill>
          <bgColor theme="8" tint="0.39997558519241921"/>
        </patternFill>
      </fill>
    </dxf>
  </rfmt>
  <rfmt sheetId="9" sqref="N144:N145">
    <dxf>
      <fill>
        <patternFill>
          <bgColor theme="2" tint="-9.9978637043366805E-2"/>
        </patternFill>
      </fill>
    </dxf>
  </rfmt>
  <rfmt sheetId="9" sqref="N147">
    <dxf>
      <fill>
        <patternFill>
          <bgColor theme="2" tint="-9.9978637043366805E-2"/>
        </patternFill>
      </fill>
    </dxf>
  </rfmt>
  <rfmt sheetId="8" sqref="AA148">
    <dxf>
      <fill>
        <patternFill>
          <bgColor theme="8" tint="0.39997558519241921"/>
        </patternFill>
      </fill>
    </dxf>
  </rfmt>
  <rfmt sheetId="9" sqref="N148">
    <dxf>
      <fill>
        <patternFill patternType="none">
          <bgColor auto="1"/>
        </patternFill>
      </fill>
    </dxf>
  </rfmt>
  <rfmt sheetId="9" sqref="N150">
    <dxf>
      <fill>
        <patternFill>
          <bgColor theme="6" tint="0.39997558519241921"/>
        </patternFill>
      </fill>
    </dxf>
  </rfmt>
  <rfmt sheetId="9" sqref="N151">
    <dxf>
      <fill>
        <patternFill>
          <bgColor theme="6" tint="0.39997558519241921"/>
        </patternFill>
      </fill>
    </dxf>
  </rfmt>
  <rfmt sheetId="9" sqref="N152">
    <dxf>
      <fill>
        <patternFill>
          <bgColor theme="6" tint="0.39997558519241921"/>
        </patternFill>
      </fill>
    </dxf>
  </rfmt>
  <rfmt sheetId="9" sqref="N153 N154">
    <dxf>
      <fill>
        <patternFill>
          <bgColor theme="6" tint="0.39997558519241921"/>
        </patternFill>
      </fill>
    </dxf>
  </rfmt>
  <rfmt sheetId="9" sqref="N107:N154">
    <dxf>
      <fill>
        <patternFill>
          <bgColor theme="0"/>
        </patternFill>
      </fill>
    </dxf>
  </rfmt>
  <rfmt sheetId="9" sqref="O5" start="0" length="0">
    <dxf>
      <numFmt numFmtId="0" formatCode="General"/>
      <fill>
        <patternFill patternType="none">
          <bgColor indexed="65"/>
        </patternFill>
      </fill>
    </dxf>
  </rfmt>
  <rcc rId="622" sId="9" odxf="1" dxf="1">
    <oc r="P5">
      <f>N5-'Rach. zysków i strat'!C4</f>
    </oc>
    <nc r="P5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5" start="0" length="0">
    <dxf>
      <numFmt numFmtId="0" formatCode="General"/>
      <fill>
        <patternFill patternType="none">
          <bgColor indexed="65"/>
        </patternFill>
      </fill>
    </dxf>
  </rfmt>
  <rfmt sheetId="9" sqref="R5" start="0" length="0">
    <dxf>
      <fill>
        <patternFill patternType="none">
          <bgColor indexed="65"/>
        </patternFill>
      </fill>
    </dxf>
  </rfmt>
  <rfmt sheetId="9" sqref="S5" start="0" length="0">
    <dxf>
      <fill>
        <patternFill patternType="none">
          <bgColor indexed="65"/>
        </patternFill>
      </fill>
    </dxf>
  </rfmt>
  <rfmt sheetId="9" sqref="T5" start="0" length="0">
    <dxf>
      <fill>
        <patternFill patternType="none">
          <bgColor indexed="65"/>
        </patternFill>
      </fill>
    </dxf>
  </rfmt>
  <rfmt sheetId="9" sqref="O6" start="0" length="0">
    <dxf>
      <numFmt numFmtId="0" formatCode="General"/>
      <fill>
        <patternFill patternType="none">
          <bgColor indexed="65"/>
        </patternFill>
      </fill>
    </dxf>
  </rfmt>
  <rcc rId="623" sId="9" odxf="1" dxf="1">
    <oc r="P6">
      <f>N6-'Rach. zysków i strat'!C5</f>
    </oc>
    <nc r="P6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6" start="0" length="0">
    <dxf>
      <numFmt numFmtId="0" formatCode="General"/>
      <fill>
        <patternFill patternType="none">
          <bgColor indexed="65"/>
        </patternFill>
      </fill>
    </dxf>
  </rfmt>
  <rfmt sheetId="9" sqref="R6" start="0" length="0">
    <dxf>
      <fill>
        <patternFill patternType="none">
          <bgColor indexed="65"/>
        </patternFill>
      </fill>
    </dxf>
  </rfmt>
  <rfmt sheetId="9" sqref="S6" start="0" length="0">
    <dxf>
      <fill>
        <patternFill patternType="none">
          <bgColor indexed="65"/>
        </patternFill>
      </fill>
    </dxf>
  </rfmt>
  <rfmt sheetId="9" sqref="T6" start="0" length="0">
    <dxf>
      <fill>
        <patternFill patternType="none">
          <bgColor indexed="65"/>
        </patternFill>
      </fill>
    </dxf>
  </rfmt>
  <rfmt sheetId="9" sqref="O7" start="0" length="0">
    <dxf>
      <numFmt numFmtId="0" formatCode="General"/>
      <fill>
        <patternFill patternType="none">
          <bgColor indexed="65"/>
        </patternFill>
      </fill>
    </dxf>
  </rfmt>
  <rcc rId="624" sId="9" odxf="1" dxf="1">
    <oc r="P7">
      <f>N7-'Rach. zysków i strat'!C6</f>
    </oc>
    <nc r="P7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7" start="0" length="0">
    <dxf>
      <numFmt numFmtId="0" formatCode="General"/>
      <fill>
        <patternFill patternType="none">
          <bgColor indexed="65"/>
        </patternFill>
      </fill>
    </dxf>
  </rfmt>
  <rfmt sheetId="9" sqref="R7" start="0" length="0">
    <dxf>
      <fill>
        <patternFill patternType="none">
          <bgColor indexed="65"/>
        </patternFill>
      </fill>
    </dxf>
  </rfmt>
  <rfmt sheetId="9" sqref="S7" start="0" length="0">
    <dxf>
      <fill>
        <patternFill patternType="none">
          <bgColor indexed="65"/>
        </patternFill>
      </fill>
    </dxf>
  </rfmt>
  <rfmt sheetId="9" sqref="T7" start="0" length="0">
    <dxf>
      <fill>
        <patternFill patternType="none">
          <bgColor indexed="65"/>
        </patternFill>
      </fill>
    </dxf>
  </rfmt>
  <rfmt sheetId="9" sqref="O8" start="0" length="0">
    <dxf>
      <numFmt numFmtId="0" formatCode="General"/>
      <fill>
        <patternFill patternType="none">
          <bgColor indexed="65"/>
        </patternFill>
      </fill>
    </dxf>
  </rfmt>
  <rcc rId="625" sId="9" odxf="1" dxf="1">
    <oc r="P8">
      <f>N8+N11-'Rach. zysków i strat'!C9</f>
    </oc>
    <nc r="P8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8" start="0" length="0">
    <dxf>
      <numFmt numFmtId="0" formatCode="General"/>
      <fill>
        <patternFill patternType="none">
          <bgColor indexed="65"/>
        </patternFill>
      </fill>
    </dxf>
  </rfmt>
  <rfmt sheetId="9" sqref="R8" start="0" length="0">
    <dxf>
      <fill>
        <patternFill patternType="none">
          <bgColor indexed="65"/>
        </patternFill>
      </fill>
    </dxf>
  </rfmt>
  <rfmt sheetId="9" sqref="S8" start="0" length="0">
    <dxf>
      <fill>
        <patternFill patternType="none">
          <bgColor indexed="65"/>
        </patternFill>
      </fill>
    </dxf>
  </rfmt>
  <rfmt sheetId="9" sqref="T8" start="0" length="0">
    <dxf>
      <fill>
        <patternFill patternType="none">
          <bgColor indexed="65"/>
        </patternFill>
      </fill>
    </dxf>
  </rfmt>
  <rfmt sheetId="9" sqref="O9" start="0" length="0">
    <dxf>
      <numFmt numFmtId="0" formatCode="General"/>
      <fill>
        <patternFill patternType="none">
          <bgColor indexed="65"/>
        </patternFill>
      </fill>
    </dxf>
  </rfmt>
  <rcc rId="626" sId="9" odxf="1" dxf="1">
    <oc r="P9">
      <f>N9-'Rach. zysków i strat'!C7</f>
    </oc>
    <nc r="P9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9" start="0" length="0">
    <dxf>
      <numFmt numFmtId="0" formatCode="General"/>
      <fill>
        <patternFill patternType="none">
          <bgColor indexed="65"/>
        </patternFill>
      </fill>
    </dxf>
  </rfmt>
  <rfmt sheetId="9" sqref="R9" start="0" length="0">
    <dxf>
      <fill>
        <patternFill patternType="none">
          <bgColor indexed="65"/>
        </patternFill>
      </fill>
    </dxf>
  </rfmt>
  <rfmt sheetId="9" sqref="S9" start="0" length="0">
    <dxf>
      <fill>
        <patternFill patternType="none">
          <bgColor indexed="65"/>
        </patternFill>
      </fill>
    </dxf>
  </rfmt>
  <rfmt sheetId="9" sqref="T9" start="0" length="0">
    <dxf>
      <fill>
        <patternFill patternType="none">
          <bgColor indexed="65"/>
        </patternFill>
      </fill>
    </dxf>
  </rfmt>
  <rfmt sheetId="9" sqref="O10" start="0" length="0">
    <dxf>
      <numFmt numFmtId="0" formatCode="General"/>
      <fill>
        <patternFill patternType="none">
          <bgColor indexed="65"/>
        </patternFill>
      </fill>
    </dxf>
  </rfmt>
  <rcc rId="627" sId="9" odxf="1" dxf="1">
    <oc r="P10">
      <f>N10-'Rach. zysków i strat'!C8</f>
    </oc>
    <nc r="P10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0" start="0" length="0">
    <dxf>
      <numFmt numFmtId="0" formatCode="General"/>
      <fill>
        <patternFill patternType="none">
          <bgColor indexed="65"/>
        </patternFill>
      </fill>
    </dxf>
  </rfmt>
  <rfmt sheetId="9" sqref="R10" start="0" length="0">
    <dxf>
      <fill>
        <patternFill patternType="none">
          <bgColor indexed="65"/>
        </patternFill>
      </fill>
    </dxf>
  </rfmt>
  <rfmt sheetId="9" sqref="S10" start="0" length="0">
    <dxf>
      <fill>
        <patternFill patternType="none">
          <bgColor indexed="65"/>
        </patternFill>
      </fill>
    </dxf>
  </rfmt>
  <rfmt sheetId="9" sqref="T10" start="0" length="0">
    <dxf>
      <fill>
        <patternFill patternType="none">
          <bgColor indexed="65"/>
        </patternFill>
      </fill>
    </dxf>
  </rfmt>
  <rfmt sheetId="9" sqref="O11" start="0" length="0">
    <dxf>
      <numFmt numFmtId="0" formatCode="General"/>
      <fill>
        <patternFill patternType="none">
          <bgColor indexed="65"/>
        </patternFill>
      </fill>
    </dxf>
  </rfmt>
  <rcc rId="628" sId="9" odxf="1" dxf="1">
    <oc r="P11">
      <f>N8+N11-'Rach. zysków i strat'!C9</f>
    </oc>
    <nc r="P11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1" start="0" length="0">
    <dxf>
      <numFmt numFmtId="0" formatCode="General"/>
      <fill>
        <patternFill patternType="none">
          <bgColor indexed="65"/>
        </patternFill>
      </fill>
    </dxf>
  </rfmt>
  <rfmt sheetId="9" sqref="R11" start="0" length="0">
    <dxf>
      <fill>
        <patternFill patternType="none">
          <bgColor indexed="65"/>
        </patternFill>
      </fill>
    </dxf>
  </rfmt>
  <rfmt sheetId="9" sqref="S11" start="0" length="0">
    <dxf>
      <fill>
        <patternFill patternType="none">
          <bgColor indexed="65"/>
        </patternFill>
      </fill>
    </dxf>
  </rfmt>
  <rfmt sheetId="9" sqref="T11" start="0" length="0">
    <dxf>
      <fill>
        <patternFill patternType="none">
          <bgColor indexed="65"/>
        </patternFill>
      </fill>
    </dxf>
  </rfmt>
  <rfmt sheetId="9" sqref="O12" start="0" length="0">
    <dxf>
      <numFmt numFmtId="0" formatCode="General"/>
      <fill>
        <patternFill patternType="none">
          <bgColor indexed="65"/>
        </patternFill>
      </fill>
    </dxf>
  </rfmt>
  <rcc rId="629" sId="9" odxf="1" dxf="1">
    <oc r="P12">
      <f>N12-'Rach. zysków i strat'!C10</f>
    </oc>
    <nc r="P12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2" start="0" length="0">
    <dxf>
      <numFmt numFmtId="0" formatCode="General"/>
      <fill>
        <patternFill patternType="none">
          <bgColor indexed="65"/>
        </patternFill>
      </fill>
    </dxf>
  </rfmt>
  <rfmt sheetId="9" sqref="R12" start="0" length="0">
    <dxf>
      <fill>
        <patternFill patternType="none">
          <bgColor indexed="65"/>
        </patternFill>
      </fill>
    </dxf>
  </rfmt>
  <rfmt sheetId="9" sqref="S12" start="0" length="0">
    <dxf>
      <fill>
        <patternFill patternType="none">
          <bgColor indexed="65"/>
        </patternFill>
      </fill>
    </dxf>
  </rfmt>
  <rfmt sheetId="9" sqref="T12" start="0" length="0">
    <dxf>
      <fill>
        <patternFill patternType="none">
          <bgColor indexed="65"/>
        </patternFill>
      </fill>
    </dxf>
  </rfmt>
  <rfmt sheetId="9" sqref="O13" start="0" length="0">
    <dxf>
      <numFmt numFmtId="0" formatCode="General"/>
      <fill>
        <patternFill patternType="none">
          <bgColor indexed="65"/>
        </patternFill>
      </fill>
    </dxf>
  </rfmt>
  <rcc rId="630" sId="9" odxf="1" dxf="1">
    <oc r="P13">
      <f>N13-'Rach. zysków i strat'!C12</f>
    </oc>
    <nc r="P13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3" start="0" length="0">
    <dxf>
      <numFmt numFmtId="0" formatCode="General"/>
      <fill>
        <patternFill patternType="none">
          <bgColor indexed="65"/>
        </patternFill>
      </fill>
    </dxf>
  </rfmt>
  <rfmt sheetId="9" sqref="R13" start="0" length="0">
    <dxf>
      <fill>
        <patternFill patternType="none">
          <bgColor indexed="65"/>
        </patternFill>
      </fill>
    </dxf>
  </rfmt>
  <rfmt sheetId="9" sqref="S13" start="0" length="0">
    <dxf>
      <fill>
        <patternFill patternType="none">
          <bgColor indexed="65"/>
        </patternFill>
      </fill>
    </dxf>
  </rfmt>
  <rfmt sheetId="9" sqref="T13" start="0" length="0">
    <dxf>
      <fill>
        <patternFill patternType="none">
          <bgColor indexed="65"/>
        </patternFill>
      </fill>
    </dxf>
  </rfmt>
  <rfmt sheetId="9" sqref="O14" start="0" length="0">
    <dxf>
      <numFmt numFmtId="0" formatCode="General"/>
      <fill>
        <patternFill patternType="none">
          <bgColor indexed="65"/>
        </patternFill>
      </fill>
    </dxf>
  </rfmt>
  <rcc rId="631" sId="9" odxf="1" dxf="1">
    <oc r="P14">
      <f>N14-'Rach. zysków i strat'!C13-'Rach. zysków i strat'!C14</f>
    </oc>
    <nc r="P14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4" start="0" length="0">
    <dxf>
      <numFmt numFmtId="0" formatCode="General"/>
      <fill>
        <patternFill patternType="none">
          <bgColor indexed="65"/>
        </patternFill>
      </fill>
    </dxf>
  </rfmt>
  <rfmt sheetId="9" sqref="R14" start="0" length="0">
    <dxf>
      <fill>
        <patternFill patternType="none">
          <bgColor indexed="65"/>
        </patternFill>
      </fill>
    </dxf>
  </rfmt>
  <rfmt sheetId="9" sqref="S14" start="0" length="0">
    <dxf>
      <fill>
        <patternFill patternType="none">
          <bgColor indexed="65"/>
        </patternFill>
      </fill>
    </dxf>
  </rfmt>
  <rfmt sheetId="9" sqref="T14" start="0" length="0">
    <dxf>
      <fill>
        <patternFill patternType="none">
          <bgColor indexed="65"/>
        </patternFill>
      </fill>
    </dxf>
  </rfmt>
  <rfmt sheetId="9" sqref="O15" start="0" length="0">
    <dxf>
      <numFmt numFmtId="0" formatCode="General"/>
      <fill>
        <patternFill patternType="none">
          <bgColor indexed="65"/>
        </patternFill>
      </fill>
    </dxf>
  </rfmt>
  <rcc rId="632" sId="9" odxf="1" dxf="1">
    <oc r="P15">
      <f>N15-'Rach. zysków i strat'!C11</f>
    </oc>
    <nc r="P15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5" start="0" length="0">
    <dxf>
      <numFmt numFmtId="0" formatCode="General"/>
      <fill>
        <patternFill patternType="none">
          <bgColor indexed="65"/>
        </patternFill>
      </fill>
    </dxf>
  </rfmt>
  <rfmt sheetId="9" sqref="R15" start="0" length="0">
    <dxf>
      <fill>
        <patternFill patternType="none">
          <bgColor indexed="65"/>
        </patternFill>
      </fill>
    </dxf>
  </rfmt>
  <rfmt sheetId="9" sqref="S15" start="0" length="0">
    <dxf>
      <fill>
        <patternFill patternType="none">
          <bgColor indexed="65"/>
        </patternFill>
      </fill>
    </dxf>
  </rfmt>
  <rfmt sheetId="9" sqref="T15" start="0" length="0">
    <dxf>
      <fill>
        <patternFill patternType="none">
          <bgColor indexed="65"/>
        </patternFill>
      </fill>
    </dxf>
  </rfmt>
  <rfmt sheetId="9" sqref="O16" start="0" length="0">
    <dxf>
      <numFmt numFmtId="0" formatCode="General"/>
      <fill>
        <patternFill patternType="none">
          <bgColor indexed="65"/>
        </patternFill>
      </fill>
    </dxf>
  </rfmt>
  <rcc rId="633" sId="9" odxf="1" dxf="1">
    <oc r="P16">
      <f>N16-'Rach. zysków i strat'!C15</f>
    </oc>
    <nc r="P16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6" start="0" length="0">
    <dxf>
      <numFmt numFmtId="0" formatCode="General"/>
      <fill>
        <patternFill patternType="none">
          <bgColor indexed="65"/>
        </patternFill>
      </fill>
    </dxf>
  </rfmt>
  <rfmt sheetId="9" sqref="R16" start="0" length="0">
    <dxf>
      <fill>
        <patternFill patternType="none">
          <bgColor indexed="65"/>
        </patternFill>
      </fill>
    </dxf>
  </rfmt>
  <rfmt sheetId="9" sqref="S16" start="0" length="0">
    <dxf>
      <fill>
        <patternFill patternType="none">
          <bgColor indexed="65"/>
        </patternFill>
      </fill>
    </dxf>
  </rfmt>
  <rfmt sheetId="9" sqref="T16" start="0" length="0">
    <dxf>
      <fill>
        <patternFill patternType="none">
          <bgColor indexed="65"/>
        </patternFill>
      </fill>
    </dxf>
  </rfmt>
  <rfmt sheetId="9" sqref="O17" start="0" length="0">
    <dxf>
      <numFmt numFmtId="0" formatCode="General"/>
      <fill>
        <patternFill patternType="none">
          <bgColor indexed="65"/>
        </patternFill>
      </fill>
    </dxf>
  </rfmt>
  <rcc rId="634" sId="9" odxf="1" dxf="1">
    <oc r="P17">
      <f>N17-'Rach. zysków i strat'!C16</f>
    </oc>
    <nc r="P17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7" start="0" length="0">
    <dxf>
      <numFmt numFmtId="0" formatCode="General"/>
      <fill>
        <patternFill patternType="none">
          <bgColor indexed="65"/>
        </patternFill>
      </fill>
    </dxf>
  </rfmt>
  <rfmt sheetId="9" sqref="R17" start="0" length="0">
    <dxf>
      <fill>
        <patternFill patternType="none">
          <bgColor indexed="65"/>
        </patternFill>
      </fill>
    </dxf>
  </rfmt>
  <rfmt sheetId="9" sqref="S17" start="0" length="0">
    <dxf>
      <fill>
        <patternFill patternType="none">
          <bgColor indexed="65"/>
        </patternFill>
      </fill>
    </dxf>
  </rfmt>
  <rfmt sheetId="9" sqref="T17" start="0" length="0">
    <dxf>
      <fill>
        <patternFill patternType="none">
          <bgColor indexed="65"/>
        </patternFill>
      </fill>
    </dxf>
  </rfmt>
  <rfmt sheetId="9" sqref="O18" start="0" length="0">
    <dxf>
      <numFmt numFmtId="0" formatCode="General"/>
      <fill>
        <patternFill patternType="none">
          <bgColor indexed="65"/>
        </patternFill>
      </fill>
    </dxf>
  </rfmt>
  <rcc rId="635" sId="9" odxf="1" dxf="1">
    <oc r="P18">
      <f>N18-'Rach. zysków i strat'!C17</f>
    </oc>
    <nc r="P18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8" start="0" length="0">
    <dxf>
      <numFmt numFmtId="0" formatCode="General"/>
      <fill>
        <patternFill patternType="none">
          <bgColor indexed="65"/>
        </patternFill>
      </fill>
    </dxf>
  </rfmt>
  <rfmt sheetId="9" sqref="R18" start="0" length="0">
    <dxf>
      <fill>
        <patternFill patternType="none">
          <bgColor indexed="65"/>
        </patternFill>
      </fill>
    </dxf>
  </rfmt>
  <rfmt sheetId="9" sqref="S18" start="0" length="0">
    <dxf>
      <fill>
        <patternFill patternType="none">
          <bgColor indexed="65"/>
        </patternFill>
      </fill>
    </dxf>
  </rfmt>
  <rfmt sheetId="9" sqref="T18" start="0" length="0">
    <dxf>
      <fill>
        <patternFill patternType="none">
          <bgColor indexed="65"/>
        </patternFill>
      </fill>
    </dxf>
  </rfmt>
  <rfmt sheetId="9" sqref="O19" start="0" length="0">
    <dxf>
      <numFmt numFmtId="0" formatCode="General"/>
      <fill>
        <patternFill patternType="none">
          <bgColor indexed="65"/>
        </patternFill>
      </fill>
    </dxf>
  </rfmt>
  <rfmt sheetId="9" sqref="P19" start="0" length="0">
    <dxf>
      <fill>
        <patternFill patternType="none">
          <bgColor indexed="65"/>
        </patternFill>
      </fill>
    </dxf>
  </rfmt>
  <rfmt sheetId="9" sqref="Q19" start="0" length="0">
    <dxf>
      <numFmt numFmtId="0" formatCode="General"/>
      <fill>
        <patternFill patternType="none">
          <bgColor indexed="65"/>
        </patternFill>
      </fill>
    </dxf>
  </rfmt>
  <rfmt sheetId="9" sqref="R19" start="0" length="0">
    <dxf>
      <fill>
        <patternFill patternType="none">
          <bgColor indexed="65"/>
        </patternFill>
      </fill>
    </dxf>
  </rfmt>
  <rfmt sheetId="9" sqref="S19" start="0" length="0">
    <dxf>
      <fill>
        <patternFill patternType="none">
          <bgColor indexed="65"/>
        </patternFill>
      </fill>
    </dxf>
  </rfmt>
  <rfmt sheetId="9" sqref="T19" start="0" length="0">
    <dxf>
      <fill>
        <patternFill patternType="none">
          <bgColor indexed="65"/>
        </patternFill>
      </fill>
    </dxf>
  </rfmt>
  <rfmt sheetId="9" sqref="O20" start="0" length="0">
    <dxf>
      <numFmt numFmtId="0" formatCode="General"/>
      <fill>
        <patternFill patternType="none">
          <bgColor indexed="65"/>
        </patternFill>
      </fill>
    </dxf>
  </rfmt>
  <rfmt sheetId="9" sqref="P20" start="0" length="0">
    <dxf>
      <fill>
        <patternFill patternType="none">
          <bgColor indexed="65"/>
        </patternFill>
      </fill>
    </dxf>
  </rfmt>
  <rfmt sheetId="9" sqref="Q20" start="0" length="0">
    <dxf>
      <numFmt numFmtId="0" formatCode="General"/>
      <fill>
        <patternFill patternType="none">
          <bgColor indexed="65"/>
        </patternFill>
      </fill>
    </dxf>
  </rfmt>
  <rfmt sheetId="9" sqref="R20" start="0" length="0">
    <dxf>
      <fill>
        <patternFill patternType="none">
          <bgColor indexed="65"/>
        </patternFill>
      </fill>
    </dxf>
  </rfmt>
  <rfmt sheetId="9" sqref="S20" start="0" length="0">
    <dxf>
      <fill>
        <patternFill patternType="none">
          <bgColor indexed="65"/>
        </patternFill>
      </fill>
    </dxf>
  </rfmt>
  <rfmt sheetId="9" sqref="T20" start="0" length="0">
    <dxf>
      <fill>
        <patternFill patternType="none">
          <bgColor indexed="65"/>
        </patternFill>
      </fill>
    </dxf>
  </rfmt>
  <rfmt sheetId="9" sqref="O21" start="0" length="0">
    <dxf>
      <numFmt numFmtId="0" formatCode="General"/>
      <fill>
        <patternFill patternType="none">
          <bgColor indexed="65"/>
        </patternFill>
      </fill>
    </dxf>
  </rfmt>
  <rfmt sheetId="9" sqref="P21" start="0" length="0">
    <dxf>
      <fill>
        <patternFill patternType="none">
          <bgColor indexed="65"/>
        </patternFill>
      </fill>
    </dxf>
  </rfmt>
  <rfmt sheetId="9" sqref="Q21" start="0" length="0">
    <dxf>
      <numFmt numFmtId="0" formatCode="General"/>
      <fill>
        <patternFill patternType="none">
          <bgColor indexed="65"/>
        </patternFill>
      </fill>
    </dxf>
  </rfmt>
  <rfmt sheetId="9" sqref="R21" start="0" length="0">
    <dxf>
      <fill>
        <patternFill patternType="none">
          <bgColor indexed="65"/>
        </patternFill>
      </fill>
    </dxf>
  </rfmt>
  <rfmt sheetId="9" sqref="S21" start="0" length="0">
    <dxf>
      <fill>
        <patternFill patternType="none">
          <bgColor indexed="65"/>
        </patternFill>
      </fill>
    </dxf>
  </rfmt>
  <rfmt sheetId="9" sqref="T21" start="0" length="0">
    <dxf>
      <fill>
        <patternFill patternType="none">
          <bgColor indexed="65"/>
        </patternFill>
      </fill>
    </dxf>
  </rfmt>
  <rfmt sheetId="9" sqref="O22" start="0" length="0">
    <dxf>
      <numFmt numFmtId="0" formatCode="General"/>
      <fill>
        <patternFill patternType="none">
          <bgColor indexed="65"/>
        </patternFill>
      </fill>
    </dxf>
  </rfmt>
  <rcc rId="636" sId="9" odxf="1" dxf="1">
    <oc r="P22">
      <f>N22-'Rach. zysków i strat'!C19</f>
    </oc>
    <nc r="P22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22" start="0" length="0">
    <dxf>
      <numFmt numFmtId="0" formatCode="General"/>
      <fill>
        <patternFill patternType="none">
          <bgColor indexed="65"/>
        </patternFill>
      </fill>
    </dxf>
  </rfmt>
  <rfmt sheetId="9" sqref="R22" start="0" length="0">
    <dxf>
      <fill>
        <patternFill patternType="none">
          <bgColor indexed="65"/>
        </patternFill>
      </fill>
    </dxf>
  </rfmt>
  <rfmt sheetId="9" sqref="S22" start="0" length="0">
    <dxf>
      <fill>
        <patternFill patternType="none">
          <bgColor indexed="65"/>
        </patternFill>
      </fill>
    </dxf>
  </rfmt>
  <rfmt sheetId="9" sqref="T22" start="0" length="0">
    <dxf>
      <fill>
        <patternFill patternType="none">
          <bgColor indexed="65"/>
        </patternFill>
      </fill>
    </dxf>
  </rfmt>
  <rfmt sheetId="9" sqref="O23" start="0" length="0">
    <dxf>
      <numFmt numFmtId="0" formatCode="General"/>
      <fill>
        <patternFill patternType="none">
          <bgColor indexed="65"/>
        </patternFill>
      </fill>
    </dxf>
  </rfmt>
  <rcc rId="637" sId="9" odxf="1" dxf="1">
    <oc r="P23">
      <f>N23-'Rach. zysków i strat'!C24-'Rach. zysków i strat'!C26</f>
    </oc>
    <nc r="P23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23" start="0" length="0">
    <dxf>
      <numFmt numFmtId="0" formatCode="General"/>
      <fill>
        <patternFill patternType="none">
          <bgColor indexed="65"/>
        </patternFill>
      </fill>
    </dxf>
  </rfmt>
  <rfmt sheetId="9" sqref="R23" start="0" length="0">
    <dxf>
      <fill>
        <patternFill patternType="none">
          <bgColor indexed="65"/>
        </patternFill>
      </fill>
    </dxf>
  </rfmt>
  <rfmt sheetId="9" sqref="S23" start="0" length="0">
    <dxf>
      <fill>
        <patternFill patternType="none">
          <bgColor indexed="65"/>
        </patternFill>
      </fill>
    </dxf>
  </rfmt>
  <rfmt sheetId="9" sqref="T23" start="0" length="0">
    <dxf>
      <fill>
        <patternFill patternType="none">
          <bgColor indexed="65"/>
        </patternFill>
      </fill>
    </dxf>
  </rfmt>
  <rfmt sheetId="9" sqref="O24" start="0" length="0">
    <dxf>
      <numFmt numFmtId="0" formatCode="General"/>
      <fill>
        <patternFill patternType="none">
          <bgColor indexed="65"/>
        </patternFill>
      </fill>
    </dxf>
  </rfmt>
  <rcc rId="638" sId="9" odxf="1" dxf="1">
    <oc r="P24">
      <f>N24-'Rach. zysków i strat'!C20</f>
    </oc>
    <nc r="P24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24" start="0" length="0">
    <dxf>
      <numFmt numFmtId="0" formatCode="General"/>
      <fill>
        <patternFill patternType="none">
          <bgColor indexed="65"/>
        </patternFill>
      </fill>
    </dxf>
  </rfmt>
  <rfmt sheetId="9" sqref="R24" start="0" length="0">
    <dxf>
      <fill>
        <patternFill patternType="none">
          <bgColor indexed="65"/>
        </patternFill>
      </fill>
    </dxf>
  </rfmt>
  <rfmt sheetId="9" sqref="S24" start="0" length="0">
    <dxf>
      <fill>
        <patternFill patternType="none">
          <bgColor indexed="65"/>
        </patternFill>
      </fill>
    </dxf>
  </rfmt>
  <rfmt sheetId="9" sqref="T24" start="0" length="0">
    <dxf>
      <fill>
        <patternFill patternType="none">
          <bgColor indexed="65"/>
        </patternFill>
      </fill>
    </dxf>
  </rfmt>
  <rfmt sheetId="9" sqref="O25" start="0" length="0">
    <dxf>
      <numFmt numFmtId="0" formatCode="General"/>
      <fill>
        <patternFill patternType="none">
          <bgColor indexed="65"/>
        </patternFill>
      </fill>
    </dxf>
  </rfmt>
  <rcc rId="639" sId="9" odxf="1" dxf="1">
    <oc r="P25">
      <f>N25-'Rach. zysków i strat'!C21-'Rach. zysków i strat'!C25</f>
    </oc>
    <nc r="P25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25" start="0" length="0">
    <dxf>
      <numFmt numFmtId="0" formatCode="General"/>
      <fill>
        <patternFill patternType="none">
          <bgColor indexed="65"/>
        </patternFill>
      </fill>
    </dxf>
  </rfmt>
  <rfmt sheetId="9" sqref="R25" start="0" length="0">
    <dxf>
      <fill>
        <patternFill patternType="none">
          <bgColor indexed="65"/>
        </patternFill>
      </fill>
    </dxf>
  </rfmt>
  <rfmt sheetId="9" sqref="S25" start="0" length="0">
    <dxf>
      <fill>
        <patternFill patternType="none">
          <bgColor indexed="65"/>
        </patternFill>
      </fill>
    </dxf>
  </rfmt>
  <rfmt sheetId="9" sqref="T25" start="0" length="0">
    <dxf>
      <fill>
        <patternFill patternType="none">
          <bgColor indexed="65"/>
        </patternFill>
      </fill>
    </dxf>
  </rfmt>
  <rfmt sheetId="9" sqref="O26" start="0" length="0">
    <dxf>
      <numFmt numFmtId="0" formatCode="General"/>
      <fill>
        <patternFill patternType="none">
          <bgColor indexed="65"/>
        </patternFill>
      </fill>
    </dxf>
  </rfmt>
  <rcc rId="640" sId="9" odxf="1" dxf="1">
    <oc r="P26">
      <f>N26-'Rach. zysków i strat'!C29</f>
    </oc>
    <nc r="P26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26" start="0" length="0">
    <dxf>
      <numFmt numFmtId="0" formatCode="General"/>
      <fill>
        <patternFill patternType="none">
          <bgColor indexed="65"/>
        </patternFill>
      </fill>
    </dxf>
  </rfmt>
  <rfmt sheetId="9" sqref="R26" start="0" length="0">
    <dxf>
      <fill>
        <patternFill patternType="none">
          <bgColor indexed="65"/>
        </patternFill>
      </fill>
    </dxf>
  </rfmt>
  <rfmt sheetId="9" sqref="S26" start="0" length="0">
    <dxf>
      <fill>
        <patternFill patternType="none">
          <bgColor indexed="65"/>
        </patternFill>
      </fill>
    </dxf>
  </rfmt>
  <rfmt sheetId="9" sqref="T26" start="0" length="0">
    <dxf>
      <fill>
        <patternFill patternType="none">
          <bgColor indexed="65"/>
        </patternFill>
      </fill>
    </dxf>
  </rfmt>
  <rfmt sheetId="9" sqref="O27" start="0" length="0">
    <dxf>
      <numFmt numFmtId="0" formatCode="General"/>
      <fill>
        <patternFill patternType="none">
          <bgColor indexed="65"/>
        </patternFill>
      </fill>
    </dxf>
  </rfmt>
  <rcc rId="641" sId="9" odxf="1" dxf="1">
    <oc r="P27">
      <f>N27-'Rach. zysków i strat'!C30</f>
    </oc>
    <nc r="P27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27" start="0" length="0">
    <dxf>
      <numFmt numFmtId="0" formatCode="General"/>
      <fill>
        <patternFill patternType="none">
          <bgColor indexed="65"/>
        </patternFill>
      </fill>
    </dxf>
  </rfmt>
  <rfmt sheetId="9" sqref="R27" start="0" length="0">
    <dxf>
      <fill>
        <patternFill patternType="none">
          <bgColor indexed="65"/>
        </patternFill>
      </fill>
    </dxf>
  </rfmt>
  <rfmt sheetId="9" sqref="S27" start="0" length="0">
    <dxf>
      <fill>
        <patternFill patternType="none">
          <bgColor indexed="65"/>
        </patternFill>
      </fill>
    </dxf>
  </rfmt>
  <rfmt sheetId="9" sqref="T27" start="0" length="0">
    <dxf>
      <fill>
        <patternFill patternType="none">
          <bgColor indexed="65"/>
        </patternFill>
      </fill>
    </dxf>
  </rfmt>
  <rfmt sheetId="9" sqref="O28" start="0" length="0">
    <dxf>
      <numFmt numFmtId="0" formatCode="General"/>
      <fill>
        <patternFill patternType="none">
          <bgColor indexed="65"/>
        </patternFill>
      </fill>
    </dxf>
  </rfmt>
  <rfmt sheetId="9" sqref="P28" start="0" length="0">
    <dxf>
      <fill>
        <patternFill patternType="none">
          <bgColor indexed="65"/>
        </patternFill>
      </fill>
    </dxf>
  </rfmt>
  <rfmt sheetId="9" sqref="Q28" start="0" length="0">
    <dxf>
      <numFmt numFmtId="0" formatCode="General"/>
      <fill>
        <patternFill patternType="none">
          <bgColor indexed="65"/>
        </patternFill>
      </fill>
    </dxf>
  </rfmt>
  <rfmt sheetId="9" sqref="R28" start="0" length="0">
    <dxf>
      <fill>
        <patternFill patternType="none">
          <bgColor indexed="65"/>
        </patternFill>
      </fill>
    </dxf>
  </rfmt>
  <rfmt sheetId="9" sqref="S28" start="0" length="0">
    <dxf>
      <fill>
        <patternFill patternType="none">
          <bgColor indexed="65"/>
        </patternFill>
      </fill>
    </dxf>
  </rfmt>
  <rfmt sheetId="9" sqref="T28" start="0" length="0">
    <dxf>
      <fill>
        <patternFill patternType="none">
          <bgColor indexed="65"/>
        </patternFill>
      </fill>
    </dxf>
  </rfmt>
  <rfmt sheetId="9" sqref="O29" start="0" length="0">
    <dxf>
      <numFmt numFmtId="0" formatCode="General"/>
      <fill>
        <patternFill patternType="none">
          <bgColor indexed="65"/>
        </patternFill>
      </fill>
    </dxf>
  </rfmt>
  <rcc rId="642" sId="9" odxf="1" dxf="1">
    <oc r="P29">
      <f>N29-'Rach. zysków i strat'!C33</f>
    </oc>
    <nc r="P29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29" start="0" length="0">
    <dxf>
      <numFmt numFmtId="0" formatCode="General"/>
      <fill>
        <patternFill patternType="none">
          <bgColor indexed="65"/>
        </patternFill>
      </fill>
    </dxf>
  </rfmt>
  <rfmt sheetId="9" sqref="R29" start="0" length="0">
    <dxf>
      <fill>
        <patternFill patternType="none">
          <bgColor indexed="65"/>
        </patternFill>
      </fill>
    </dxf>
  </rfmt>
  <rfmt sheetId="9" sqref="S29" start="0" length="0">
    <dxf>
      <fill>
        <patternFill patternType="none">
          <bgColor indexed="65"/>
        </patternFill>
      </fill>
    </dxf>
  </rfmt>
  <rfmt sheetId="9" sqref="T29" start="0" length="0">
    <dxf>
      <fill>
        <patternFill patternType="none">
          <bgColor indexed="65"/>
        </patternFill>
      </fill>
    </dxf>
  </rfmt>
  <rfmt sheetId="9" sqref="O30" start="0" length="0">
    <dxf>
      <numFmt numFmtId="0" formatCode="General"/>
      <fill>
        <patternFill patternType="none">
          <bgColor indexed="65"/>
        </patternFill>
      </fill>
    </dxf>
  </rfmt>
  <rcc rId="643" sId="9" odxf="1" dxf="1">
    <oc r="P30">
      <f>N30-'Rach. zysków i strat'!C34</f>
    </oc>
    <nc r="P30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30" start="0" length="0">
    <dxf>
      <numFmt numFmtId="0" formatCode="General"/>
      <fill>
        <patternFill patternType="none">
          <bgColor indexed="65"/>
        </patternFill>
      </fill>
    </dxf>
  </rfmt>
  <rfmt sheetId="9" sqref="R30" start="0" length="0">
    <dxf>
      <fill>
        <patternFill patternType="none">
          <bgColor indexed="65"/>
        </patternFill>
      </fill>
    </dxf>
  </rfmt>
  <rfmt sheetId="9" sqref="S30" start="0" length="0">
    <dxf>
      <fill>
        <patternFill patternType="none">
          <bgColor indexed="65"/>
        </patternFill>
      </fill>
    </dxf>
  </rfmt>
  <rfmt sheetId="9" sqref="T30" start="0" length="0">
    <dxf>
      <fill>
        <patternFill patternType="none">
          <bgColor indexed="65"/>
        </patternFill>
      </fill>
    </dxf>
  </rfmt>
  <rfmt sheetId="9" sqref="O31" start="0" length="0">
    <dxf>
      <numFmt numFmtId="0" formatCode="General"/>
      <fill>
        <patternFill patternType="none">
          <bgColor indexed="65"/>
        </patternFill>
      </fill>
    </dxf>
  </rfmt>
  <rfmt sheetId="9" sqref="P31" start="0" length="0">
    <dxf>
      <fill>
        <patternFill patternType="none">
          <bgColor indexed="65"/>
        </patternFill>
      </fill>
    </dxf>
  </rfmt>
  <rfmt sheetId="9" sqref="Q31" start="0" length="0">
    <dxf>
      <numFmt numFmtId="0" formatCode="General"/>
      <fill>
        <patternFill patternType="none">
          <bgColor indexed="65"/>
        </patternFill>
      </fill>
    </dxf>
  </rfmt>
  <rfmt sheetId="9" sqref="R31" start="0" length="0">
    <dxf>
      <fill>
        <patternFill patternType="none">
          <bgColor indexed="65"/>
        </patternFill>
      </fill>
    </dxf>
  </rfmt>
  <rfmt sheetId="9" sqref="S31" start="0" length="0">
    <dxf>
      <fill>
        <patternFill patternType="none">
          <bgColor indexed="65"/>
        </patternFill>
      </fill>
    </dxf>
  </rfmt>
  <rfmt sheetId="9" sqref="T31" start="0" length="0">
    <dxf>
      <fill>
        <patternFill patternType="none">
          <bgColor indexed="65"/>
        </patternFill>
      </fill>
    </dxf>
  </rfmt>
  <rfmt sheetId="9" sqref="O32" start="0" length="0">
    <dxf>
      <numFmt numFmtId="0" formatCode="General"/>
      <fill>
        <patternFill patternType="none">
          <bgColor indexed="65"/>
        </patternFill>
      </fill>
    </dxf>
  </rfmt>
  <rcc rId="644" sId="9" odxf="1" dxf="1">
    <oc r="P32">
      <f>N32-'Rach. zysków i strat'!C36</f>
    </oc>
    <nc r="P32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32" start="0" length="0">
    <dxf>
      <numFmt numFmtId="0" formatCode="General"/>
      <fill>
        <patternFill patternType="none">
          <bgColor indexed="65"/>
        </patternFill>
      </fill>
    </dxf>
  </rfmt>
  <rfmt sheetId="9" sqref="R32" start="0" length="0">
    <dxf>
      <fill>
        <patternFill patternType="none">
          <bgColor indexed="65"/>
        </patternFill>
      </fill>
    </dxf>
  </rfmt>
  <rfmt sheetId="9" sqref="S32" start="0" length="0">
    <dxf>
      <fill>
        <patternFill patternType="none">
          <bgColor indexed="65"/>
        </patternFill>
      </fill>
    </dxf>
  </rfmt>
  <rfmt sheetId="9" sqref="T32" start="0" length="0">
    <dxf>
      <fill>
        <patternFill patternType="none">
          <bgColor indexed="65"/>
        </patternFill>
      </fill>
    </dxf>
  </rfmt>
  <rfmt sheetId="9" sqref="O33" start="0" length="0">
    <dxf>
      <numFmt numFmtId="0" formatCode="General"/>
      <fill>
        <patternFill patternType="none">
          <bgColor indexed="65"/>
        </patternFill>
      </fill>
    </dxf>
  </rfmt>
  <rcc rId="645" sId="9" odxf="1" dxf="1">
    <oc r="P33">
      <f>N33-'Rach. zysków i strat'!C37</f>
    </oc>
    <nc r="P33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33" start="0" length="0">
    <dxf>
      <numFmt numFmtId="0" formatCode="General"/>
      <fill>
        <patternFill patternType="none">
          <bgColor indexed="65"/>
        </patternFill>
      </fill>
    </dxf>
  </rfmt>
  <rfmt sheetId="9" sqref="R33" start="0" length="0">
    <dxf>
      <fill>
        <patternFill patternType="none">
          <bgColor indexed="65"/>
        </patternFill>
      </fill>
    </dxf>
  </rfmt>
  <rfmt sheetId="9" sqref="S33" start="0" length="0">
    <dxf>
      <fill>
        <patternFill patternType="none">
          <bgColor indexed="65"/>
        </patternFill>
      </fill>
    </dxf>
  </rfmt>
  <rfmt sheetId="9" sqref="T33" start="0" length="0">
    <dxf>
      <fill>
        <patternFill patternType="none">
          <bgColor indexed="65"/>
        </patternFill>
      </fill>
    </dxf>
  </rfmt>
  <rfmt sheetId="9" sqref="O34" start="0" length="0">
    <dxf>
      <numFmt numFmtId="0" formatCode="General"/>
      <fill>
        <patternFill patternType="none">
          <bgColor indexed="65"/>
        </patternFill>
      </fill>
    </dxf>
  </rfmt>
  <rfmt sheetId="9" sqref="P34" start="0" length="0">
    <dxf>
      <fill>
        <patternFill patternType="none">
          <bgColor indexed="65"/>
        </patternFill>
      </fill>
    </dxf>
  </rfmt>
  <rfmt sheetId="9" sqref="Q34" start="0" length="0">
    <dxf>
      <numFmt numFmtId="0" formatCode="General"/>
      <fill>
        <patternFill patternType="none">
          <bgColor indexed="65"/>
        </patternFill>
      </fill>
    </dxf>
  </rfmt>
  <rfmt sheetId="9" sqref="R34" start="0" length="0">
    <dxf>
      <fill>
        <patternFill patternType="none">
          <bgColor indexed="65"/>
        </patternFill>
      </fill>
    </dxf>
  </rfmt>
  <rfmt sheetId="9" sqref="S34" start="0" length="0">
    <dxf>
      <fill>
        <patternFill patternType="none">
          <bgColor indexed="65"/>
        </patternFill>
      </fill>
    </dxf>
  </rfmt>
  <rfmt sheetId="9" sqref="T34" start="0" length="0">
    <dxf>
      <fill>
        <patternFill patternType="none">
          <bgColor indexed="65"/>
        </patternFill>
      </fill>
    </dxf>
  </rfmt>
  <rfmt sheetId="9" sqref="O35" start="0" length="0">
    <dxf>
      <numFmt numFmtId="0" formatCode="General"/>
      <fill>
        <patternFill patternType="none">
          <bgColor indexed="65"/>
        </patternFill>
      </fill>
    </dxf>
  </rfmt>
  <rfmt sheetId="9" sqref="P35" start="0" length="0">
    <dxf>
      <fill>
        <patternFill patternType="none">
          <bgColor indexed="65"/>
        </patternFill>
      </fill>
    </dxf>
  </rfmt>
  <rfmt sheetId="9" sqref="Q35" start="0" length="0">
    <dxf>
      <numFmt numFmtId="0" formatCode="General"/>
      <fill>
        <patternFill patternType="none">
          <bgColor indexed="65"/>
        </patternFill>
      </fill>
    </dxf>
  </rfmt>
  <rfmt sheetId="9" sqref="R35" start="0" length="0">
    <dxf>
      <fill>
        <patternFill patternType="none">
          <bgColor indexed="65"/>
        </patternFill>
      </fill>
    </dxf>
  </rfmt>
  <rfmt sheetId="9" sqref="S35" start="0" length="0">
    <dxf>
      <fill>
        <patternFill patternType="none">
          <bgColor indexed="65"/>
        </patternFill>
      </fill>
    </dxf>
  </rfmt>
  <rfmt sheetId="9" sqref="T35" start="0" length="0">
    <dxf>
      <fill>
        <patternFill patternType="none">
          <bgColor indexed="65"/>
        </patternFill>
      </fill>
    </dxf>
  </rfmt>
  <rfmt sheetId="9" sqref="O36" start="0" length="0">
    <dxf>
      <numFmt numFmtId="0" formatCode="General"/>
      <fill>
        <patternFill patternType="none">
          <bgColor indexed="65"/>
        </patternFill>
      </fill>
    </dxf>
  </rfmt>
  <rcc rId="646" sId="9" odxf="1" dxf="1">
    <oc r="P36">
      <f>N36-'Rach. zysków i strat'!C39</f>
    </oc>
    <nc r="P36"/>
    <odxf>
      <numFmt numFmtId="173" formatCode="_-* #,##0.00\ _z_ł_-;\-* #,##0.00\ _z_ł_-;_-* &quot;-&quot;??\ _z_ł_-;_-@_-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36" start="0" length="0">
    <dxf>
      <numFmt numFmtId="0" formatCode="General"/>
      <fill>
        <patternFill patternType="none">
          <bgColor indexed="65"/>
        </patternFill>
      </fill>
    </dxf>
  </rfmt>
  <rfmt sheetId="9" sqref="R36" start="0" length="0">
    <dxf>
      <fill>
        <patternFill patternType="none">
          <bgColor indexed="65"/>
        </patternFill>
      </fill>
    </dxf>
  </rfmt>
  <rfmt sheetId="9" sqref="S36" start="0" length="0">
    <dxf>
      <fill>
        <patternFill patternType="none">
          <bgColor indexed="65"/>
        </patternFill>
      </fill>
    </dxf>
  </rfmt>
  <rfmt sheetId="9" sqref="T36" start="0" length="0">
    <dxf>
      <fill>
        <patternFill patternType="none">
          <bgColor indexed="65"/>
        </patternFill>
      </fill>
    </dxf>
  </rfmt>
  <rfmt sheetId="9" sqref="O37" start="0" length="0">
    <dxf>
      <fill>
        <patternFill patternType="none">
          <bgColor indexed="65"/>
        </patternFill>
      </fill>
    </dxf>
  </rfmt>
  <rfmt sheetId="9" sqref="P37" start="0" length="0">
    <dxf>
      <fill>
        <patternFill patternType="none">
          <bgColor indexed="65"/>
        </patternFill>
      </fill>
    </dxf>
  </rfmt>
  <rfmt sheetId="9" sqref="Q37" start="0" length="0">
    <dxf>
      <fill>
        <patternFill patternType="none">
          <bgColor indexed="65"/>
        </patternFill>
      </fill>
    </dxf>
  </rfmt>
  <rfmt sheetId="9" sqref="R37" start="0" length="0">
    <dxf>
      <fill>
        <patternFill patternType="none">
          <bgColor indexed="65"/>
        </patternFill>
      </fill>
    </dxf>
  </rfmt>
  <rfmt sheetId="9" sqref="S37" start="0" length="0">
    <dxf>
      <fill>
        <patternFill patternType="none">
          <bgColor indexed="65"/>
        </patternFill>
      </fill>
    </dxf>
  </rfmt>
  <rfmt sheetId="9" sqref="T37" start="0" length="0">
    <dxf>
      <fill>
        <patternFill patternType="none">
          <bgColor indexed="65"/>
        </patternFill>
      </fill>
    </dxf>
  </rfmt>
  <rfmt sheetId="9" sqref="O38" start="0" length="0">
    <dxf>
      <fill>
        <patternFill patternType="none">
          <bgColor indexed="65"/>
        </patternFill>
      </fill>
    </dxf>
  </rfmt>
  <rfmt sheetId="9" sqref="P38" start="0" length="0">
    <dxf>
      <fill>
        <patternFill patternType="none">
          <bgColor indexed="65"/>
        </patternFill>
      </fill>
    </dxf>
  </rfmt>
  <rfmt sheetId="9" sqref="Q38" start="0" length="0">
    <dxf>
      <fill>
        <patternFill patternType="none">
          <bgColor indexed="65"/>
        </patternFill>
      </fill>
    </dxf>
  </rfmt>
  <rfmt sheetId="9" sqref="R38" start="0" length="0">
    <dxf>
      <fill>
        <patternFill patternType="none">
          <bgColor indexed="65"/>
        </patternFill>
      </fill>
    </dxf>
  </rfmt>
  <rfmt sheetId="9" sqref="S38" start="0" length="0">
    <dxf>
      <fill>
        <patternFill patternType="none">
          <bgColor indexed="65"/>
        </patternFill>
      </fill>
    </dxf>
  </rfmt>
  <rfmt sheetId="9" sqref="T38" start="0" length="0">
    <dxf>
      <fill>
        <patternFill patternType="none">
          <bgColor indexed="65"/>
        </patternFill>
      </fill>
    </dxf>
  </rfmt>
  <rfmt sheetId="9" sqref="O39" start="0" length="0">
    <dxf>
      <fill>
        <patternFill patternType="none">
          <bgColor indexed="65"/>
        </patternFill>
      </fill>
    </dxf>
  </rfmt>
  <rfmt sheetId="9" sqref="P39" start="0" length="0">
    <dxf>
      <fill>
        <patternFill patternType="none">
          <bgColor indexed="65"/>
        </patternFill>
      </fill>
    </dxf>
  </rfmt>
  <rfmt sheetId="9" sqref="Q39" start="0" length="0">
    <dxf>
      <fill>
        <patternFill patternType="none">
          <bgColor indexed="65"/>
        </patternFill>
      </fill>
    </dxf>
  </rfmt>
  <rfmt sheetId="9" sqref="R39" start="0" length="0">
    <dxf>
      <fill>
        <patternFill patternType="none">
          <bgColor indexed="65"/>
        </patternFill>
      </fill>
    </dxf>
  </rfmt>
  <rfmt sheetId="9" sqref="S39" start="0" length="0">
    <dxf>
      <fill>
        <patternFill patternType="none">
          <bgColor indexed="65"/>
        </patternFill>
      </fill>
    </dxf>
  </rfmt>
  <rfmt sheetId="9" sqref="T39" start="0" length="0">
    <dxf>
      <fill>
        <patternFill patternType="none">
          <bgColor indexed="65"/>
        </patternFill>
      </fill>
    </dxf>
  </rfmt>
  <rfmt sheetId="9" sqref="O40" start="0" length="0">
    <dxf>
      <fill>
        <patternFill patternType="none">
          <bgColor indexed="65"/>
        </patternFill>
      </fill>
    </dxf>
  </rfmt>
  <rfmt sheetId="9" sqref="P40" start="0" length="0">
    <dxf>
      <fill>
        <patternFill patternType="none">
          <bgColor indexed="65"/>
        </patternFill>
      </fill>
    </dxf>
  </rfmt>
  <rfmt sheetId="9" sqref="Q40" start="0" length="0">
    <dxf>
      <fill>
        <patternFill patternType="none">
          <bgColor indexed="65"/>
        </patternFill>
      </fill>
    </dxf>
  </rfmt>
  <rfmt sheetId="9" sqref="R40" start="0" length="0">
    <dxf>
      <fill>
        <patternFill patternType="none">
          <bgColor indexed="65"/>
        </patternFill>
      </fill>
    </dxf>
  </rfmt>
  <rfmt sheetId="9" sqref="S40" start="0" length="0">
    <dxf>
      <fill>
        <patternFill patternType="none">
          <bgColor indexed="65"/>
        </patternFill>
      </fill>
    </dxf>
  </rfmt>
  <rfmt sheetId="9" sqref="T40" start="0" length="0">
    <dxf>
      <fill>
        <patternFill patternType="none">
          <bgColor indexed="65"/>
        </patternFill>
      </fill>
    </dxf>
  </rfmt>
  <rfmt sheetId="9" sqref="O41" start="0" length="0">
    <dxf>
      <fill>
        <patternFill patternType="none">
          <bgColor indexed="65"/>
        </patternFill>
      </fill>
    </dxf>
  </rfmt>
  <rfmt sheetId="9" sqref="P41" start="0" length="0">
    <dxf>
      <fill>
        <patternFill patternType="none">
          <bgColor indexed="65"/>
        </patternFill>
      </fill>
    </dxf>
  </rfmt>
  <rfmt sheetId="9" sqref="Q41" start="0" length="0">
    <dxf>
      <fill>
        <patternFill patternType="none">
          <bgColor indexed="65"/>
        </patternFill>
      </fill>
    </dxf>
  </rfmt>
  <rfmt sheetId="9" sqref="R41" start="0" length="0">
    <dxf>
      <fill>
        <patternFill patternType="none">
          <bgColor indexed="65"/>
        </patternFill>
      </fill>
    </dxf>
  </rfmt>
  <rfmt sheetId="9" sqref="S41" start="0" length="0">
    <dxf>
      <fill>
        <patternFill patternType="none">
          <bgColor indexed="65"/>
        </patternFill>
      </fill>
    </dxf>
  </rfmt>
  <rfmt sheetId="9" sqref="T41" start="0" length="0">
    <dxf>
      <fill>
        <patternFill patternType="none">
          <bgColor indexed="65"/>
        </patternFill>
      </fill>
    </dxf>
  </rfmt>
  <rfmt sheetId="9" sqref="O42" start="0" length="0">
    <dxf>
      <numFmt numFmtId="0" formatCode="General"/>
      <fill>
        <patternFill patternType="none">
          <bgColor indexed="65"/>
        </patternFill>
      </fill>
    </dxf>
  </rfmt>
  <rcc rId="647" sId="9" odxf="1" dxf="1">
    <oc r="P42">
      <f>N42-Bilans!C5</f>
    </oc>
    <nc r="P42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42" start="0" length="0">
    <dxf>
      <fill>
        <patternFill patternType="none">
          <bgColor indexed="65"/>
        </patternFill>
      </fill>
    </dxf>
  </rfmt>
  <rfmt sheetId="9" sqref="R42" start="0" length="0">
    <dxf>
      <fill>
        <patternFill patternType="none">
          <bgColor indexed="65"/>
        </patternFill>
      </fill>
    </dxf>
  </rfmt>
  <rfmt sheetId="9" sqref="S42" start="0" length="0">
    <dxf>
      <fill>
        <patternFill patternType="none">
          <bgColor indexed="65"/>
        </patternFill>
      </fill>
    </dxf>
  </rfmt>
  <rfmt sheetId="9" sqref="T42" start="0" length="0">
    <dxf>
      <fill>
        <patternFill patternType="none">
          <bgColor indexed="65"/>
        </patternFill>
      </fill>
    </dxf>
  </rfmt>
  <rfmt sheetId="9" sqref="O43" start="0" length="0">
    <dxf>
      <numFmt numFmtId="0" formatCode="General"/>
      <fill>
        <patternFill patternType="none">
          <bgColor indexed="65"/>
        </patternFill>
      </fill>
    </dxf>
  </rfmt>
  <rcc rId="648" sId="9" odxf="1" dxf="1">
    <oc r="P43">
      <f>N43-Bilans!C6</f>
    </oc>
    <nc r="P43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43" start="0" length="0">
    <dxf>
      <fill>
        <patternFill patternType="none">
          <bgColor indexed="65"/>
        </patternFill>
      </fill>
    </dxf>
  </rfmt>
  <rfmt sheetId="9" sqref="R43" start="0" length="0">
    <dxf>
      <fill>
        <patternFill patternType="none">
          <bgColor indexed="65"/>
        </patternFill>
      </fill>
    </dxf>
  </rfmt>
  <rfmt sheetId="9" sqref="S43" start="0" length="0">
    <dxf>
      <fill>
        <patternFill patternType="none">
          <bgColor indexed="65"/>
        </patternFill>
      </fill>
    </dxf>
  </rfmt>
  <rfmt sheetId="9" sqref="T43" start="0" length="0">
    <dxf>
      <fill>
        <patternFill patternType="none">
          <bgColor indexed="65"/>
        </patternFill>
      </fill>
    </dxf>
  </rfmt>
  <rfmt sheetId="9" sqref="O44" start="0" length="0">
    <dxf>
      <numFmt numFmtId="0" formatCode="General"/>
      <fill>
        <patternFill patternType="none">
          <bgColor indexed="65"/>
        </patternFill>
      </fill>
    </dxf>
  </rfmt>
  <rcc rId="649" sId="9" odxf="1" dxf="1">
    <oc r="P44">
      <f>N44-Bilans!C7-Bilans!C8</f>
    </oc>
    <nc r="P44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44" start="0" length="0">
    <dxf>
      <fill>
        <patternFill patternType="none">
          <bgColor indexed="65"/>
        </patternFill>
      </fill>
    </dxf>
  </rfmt>
  <rfmt sheetId="9" sqref="R44" start="0" length="0">
    <dxf>
      <fill>
        <patternFill patternType="none">
          <bgColor indexed="65"/>
        </patternFill>
      </fill>
    </dxf>
  </rfmt>
  <rfmt sheetId="9" sqref="S44" start="0" length="0">
    <dxf>
      <fill>
        <patternFill patternType="none">
          <bgColor indexed="65"/>
        </patternFill>
      </fill>
    </dxf>
  </rfmt>
  <rfmt sheetId="9" sqref="T44" start="0" length="0">
    <dxf>
      <fill>
        <patternFill patternType="none">
          <bgColor indexed="65"/>
        </patternFill>
      </fill>
    </dxf>
  </rfmt>
  <rfmt sheetId="9" sqref="O45" start="0" length="0">
    <dxf>
      <numFmt numFmtId="0" formatCode="General"/>
      <fill>
        <patternFill patternType="none">
          <bgColor indexed="65"/>
        </patternFill>
      </fill>
    </dxf>
  </rfmt>
  <rcc rId="650" sId="9" odxf="1" dxf="1">
    <oc r="P45">
      <f>N45-Bilans!C9</f>
    </oc>
    <nc r="P45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45" start="0" length="0">
    <dxf>
      <fill>
        <patternFill patternType="none">
          <bgColor indexed="65"/>
        </patternFill>
      </fill>
    </dxf>
  </rfmt>
  <rfmt sheetId="9" sqref="R45" start="0" length="0">
    <dxf>
      <fill>
        <patternFill patternType="none">
          <bgColor indexed="65"/>
        </patternFill>
      </fill>
    </dxf>
  </rfmt>
  <rfmt sheetId="9" sqref="S45" start="0" length="0">
    <dxf>
      <fill>
        <patternFill patternType="none">
          <bgColor indexed="65"/>
        </patternFill>
      </fill>
    </dxf>
  </rfmt>
  <rfmt sheetId="9" sqref="T45" start="0" length="0">
    <dxf>
      <fill>
        <patternFill patternType="none">
          <bgColor indexed="65"/>
        </patternFill>
      </fill>
    </dxf>
  </rfmt>
  <rfmt sheetId="9" sqref="O46" start="0" length="0">
    <dxf>
      <numFmt numFmtId="0" formatCode="General"/>
      <fill>
        <patternFill patternType="none">
          <bgColor indexed="65"/>
        </patternFill>
      </fill>
    </dxf>
  </rfmt>
  <rcc rId="651" sId="9" odxf="1" dxf="1">
    <oc r="P46">
      <f>N46-Bilans!C10-Bilans!C11</f>
    </oc>
    <nc r="P46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46" start="0" length="0">
    <dxf>
      <fill>
        <patternFill patternType="none">
          <bgColor indexed="65"/>
        </patternFill>
      </fill>
    </dxf>
  </rfmt>
  <rfmt sheetId="9" sqref="R46" start="0" length="0">
    <dxf>
      <fill>
        <patternFill patternType="none">
          <bgColor indexed="65"/>
        </patternFill>
      </fill>
    </dxf>
  </rfmt>
  <rfmt sheetId="9" sqref="S46" start="0" length="0">
    <dxf>
      <fill>
        <patternFill patternType="none">
          <bgColor indexed="65"/>
        </patternFill>
      </fill>
    </dxf>
  </rfmt>
  <rfmt sheetId="9" sqref="T46" start="0" length="0">
    <dxf>
      <fill>
        <patternFill patternType="none">
          <bgColor indexed="65"/>
        </patternFill>
      </fill>
    </dxf>
  </rfmt>
  <rfmt sheetId="9" sqref="O47" start="0" length="0">
    <dxf>
      <numFmt numFmtId="0" formatCode="General"/>
      <fill>
        <patternFill patternType="none">
          <bgColor indexed="65"/>
        </patternFill>
      </fill>
    </dxf>
  </rfmt>
  <rcc rId="652" sId="9" odxf="1" dxf="1">
    <oc r="P47">
      <f>N47-Bilans!C12</f>
    </oc>
    <nc r="P47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47" start="0" length="0">
    <dxf>
      <fill>
        <patternFill patternType="none">
          <bgColor indexed="65"/>
        </patternFill>
      </fill>
    </dxf>
  </rfmt>
  <rfmt sheetId="9" sqref="R47" start="0" length="0">
    <dxf>
      <fill>
        <patternFill patternType="none">
          <bgColor indexed="65"/>
        </patternFill>
      </fill>
    </dxf>
  </rfmt>
  <rfmt sheetId="9" sqref="S47" start="0" length="0">
    <dxf>
      <fill>
        <patternFill patternType="none">
          <bgColor indexed="65"/>
        </patternFill>
      </fill>
    </dxf>
  </rfmt>
  <rfmt sheetId="9" sqref="T47" start="0" length="0">
    <dxf>
      <fill>
        <patternFill patternType="none">
          <bgColor indexed="65"/>
        </patternFill>
      </fill>
    </dxf>
  </rfmt>
  <rfmt sheetId="9" sqref="O48" start="0" length="0">
    <dxf>
      <numFmt numFmtId="0" formatCode="General"/>
      <fill>
        <patternFill patternType="none">
          <bgColor indexed="65"/>
        </patternFill>
      </fill>
    </dxf>
  </rfmt>
  <rcc rId="653" sId="9" odxf="1" dxf="1">
    <oc r="P48">
      <f>N48-Bilans!C13</f>
    </oc>
    <nc r="P48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48" start="0" length="0">
    <dxf>
      <fill>
        <patternFill patternType="none">
          <bgColor indexed="65"/>
        </patternFill>
      </fill>
    </dxf>
  </rfmt>
  <rfmt sheetId="9" sqref="R48" start="0" length="0">
    <dxf>
      <fill>
        <patternFill patternType="none">
          <bgColor indexed="65"/>
        </patternFill>
      </fill>
    </dxf>
  </rfmt>
  <rfmt sheetId="9" sqref="S48" start="0" length="0">
    <dxf>
      <fill>
        <patternFill patternType="none">
          <bgColor indexed="65"/>
        </patternFill>
      </fill>
    </dxf>
  </rfmt>
  <rfmt sheetId="9" sqref="T48" start="0" length="0">
    <dxf>
      <fill>
        <patternFill patternType="none">
          <bgColor indexed="65"/>
        </patternFill>
      </fill>
    </dxf>
  </rfmt>
  <rfmt sheetId="9" sqref="O49" start="0" length="0">
    <dxf>
      <numFmt numFmtId="0" formatCode="General"/>
      <fill>
        <patternFill patternType="none">
          <bgColor indexed="65"/>
        </patternFill>
      </fill>
    </dxf>
  </rfmt>
  <rcc rId="654" sId="9" odxf="1" dxf="1">
    <oc r="P49">
      <f>N49-Bilans!C14</f>
    </oc>
    <nc r="P49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49" start="0" length="0">
    <dxf>
      <fill>
        <patternFill patternType="none">
          <bgColor indexed="65"/>
        </patternFill>
      </fill>
    </dxf>
  </rfmt>
  <rfmt sheetId="9" sqref="R49" start="0" length="0">
    <dxf>
      <fill>
        <patternFill patternType="none">
          <bgColor indexed="65"/>
        </patternFill>
      </fill>
    </dxf>
  </rfmt>
  <rfmt sheetId="9" sqref="S49" start="0" length="0">
    <dxf>
      <fill>
        <patternFill patternType="none">
          <bgColor indexed="65"/>
        </patternFill>
      </fill>
    </dxf>
  </rfmt>
  <rfmt sheetId="9" sqref="T49" start="0" length="0">
    <dxf>
      <fill>
        <patternFill patternType="none">
          <bgColor indexed="65"/>
        </patternFill>
      </fill>
    </dxf>
  </rfmt>
  <rfmt sheetId="9" sqref="O50" start="0" length="0">
    <dxf>
      <numFmt numFmtId="0" formatCode="General"/>
      <fill>
        <patternFill patternType="none">
          <bgColor indexed="65"/>
        </patternFill>
      </fill>
    </dxf>
  </rfmt>
  <rfmt sheetId="9" sqref="P50" start="0" length="0">
    <dxf>
      <fill>
        <patternFill patternType="none">
          <bgColor indexed="65"/>
        </patternFill>
      </fill>
    </dxf>
  </rfmt>
  <rfmt sheetId="9" sqref="Q50" start="0" length="0">
    <dxf>
      <fill>
        <patternFill patternType="none">
          <bgColor indexed="65"/>
        </patternFill>
      </fill>
    </dxf>
  </rfmt>
  <rfmt sheetId="9" sqref="R50" start="0" length="0">
    <dxf>
      <fill>
        <patternFill patternType="none">
          <bgColor indexed="65"/>
        </patternFill>
      </fill>
    </dxf>
  </rfmt>
  <rfmt sheetId="9" sqref="S50" start="0" length="0">
    <dxf>
      <fill>
        <patternFill patternType="none">
          <bgColor indexed="65"/>
        </patternFill>
      </fill>
    </dxf>
  </rfmt>
  <rfmt sheetId="9" sqref="T50" start="0" length="0">
    <dxf>
      <fill>
        <patternFill patternType="none">
          <bgColor indexed="65"/>
        </patternFill>
      </fill>
    </dxf>
  </rfmt>
  <rfmt sheetId="9" sqref="O51" start="0" length="0">
    <dxf>
      <numFmt numFmtId="0" formatCode="General"/>
      <fill>
        <patternFill patternType="none">
          <bgColor indexed="65"/>
        </patternFill>
      </fill>
    </dxf>
  </rfmt>
  <rcc rId="655" sId="9" odxf="1" dxf="1">
    <oc r="P51">
      <f>N51-Bilans!C16</f>
    </oc>
    <nc r="P51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51" start="0" length="0">
    <dxf>
      <fill>
        <patternFill patternType="none">
          <bgColor indexed="65"/>
        </patternFill>
      </fill>
    </dxf>
  </rfmt>
  <rfmt sheetId="9" sqref="R51" start="0" length="0">
    <dxf>
      <fill>
        <patternFill patternType="none">
          <bgColor indexed="65"/>
        </patternFill>
      </fill>
    </dxf>
  </rfmt>
  <rfmt sheetId="9" sqref="S51" start="0" length="0">
    <dxf>
      <fill>
        <patternFill patternType="none">
          <bgColor indexed="65"/>
        </patternFill>
      </fill>
    </dxf>
  </rfmt>
  <rfmt sheetId="9" sqref="T51" start="0" length="0">
    <dxf>
      <fill>
        <patternFill patternType="none">
          <bgColor indexed="65"/>
        </patternFill>
      </fill>
    </dxf>
  </rfmt>
  <rfmt sheetId="9" sqref="O52" start="0" length="0">
    <dxf>
      <numFmt numFmtId="0" formatCode="General"/>
      <fill>
        <patternFill patternType="none">
          <bgColor indexed="65"/>
        </patternFill>
      </fill>
    </dxf>
  </rfmt>
  <rcc rId="656" sId="9" odxf="1" dxf="1">
    <oc r="P52">
      <f>N52-Bilans!C17</f>
    </oc>
    <nc r="P52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52" start="0" length="0">
    <dxf>
      <fill>
        <patternFill patternType="none">
          <bgColor indexed="65"/>
        </patternFill>
      </fill>
    </dxf>
  </rfmt>
  <rfmt sheetId="9" sqref="R52" start="0" length="0">
    <dxf>
      <fill>
        <patternFill patternType="none">
          <bgColor indexed="65"/>
        </patternFill>
      </fill>
    </dxf>
  </rfmt>
  <rfmt sheetId="9" sqref="S52" start="0" length="0">
    <dxf>
      <fill>
        <patternFill patternType="none">
          <bgColor indexed="65"/>
        </patternFill>
      </fill>
    </dxf>
  </rfmt>
  <rfmt sheetId="9" sqref="T52" start="0" length="0">
    <dxf>
      <fill>
        <patternFill patternType="none">
          <bgColor indexed="65"/>
        </patternFill>
      </fill>
    </dxf>
  </rfmt>
  <rfmt sheetId="9" sqref="O53" start="0" length="0">
    <dxf>
      <numFmt numFmtId="0" formatCode="General"/>
      <fill>
        <patternFill patternType="none">
          <bgColor indexed="65"/>
        </patternFill>
      </fill>
    </dxf>
  </rfmt>
  <rfmt sheetId="9" sqref="P53" start="0" length="0">
    <dxf>
      <fill>
        <patternFill patternType="none">
          <bgColor indexed="65"/>
        </patternFill>
      </fill>
    </dxf>
  </rfmt>
  <rfmt sheetId="9" sqref="Q53" start="0" length="0">
    <dxf>
      <fill>
        <patternFill patternType="none">
          <bgColor indexed="65"/>
        </patternFill>
      </fill>
    </dxf>
  </rfmt>
  <rfmt sheetId="9" sqref="R53" start="0" length="0">
    <dxf>
      <fill>
        <patternFill patternType="none">
          <bgColor indexed="65"/>
        </patternFill>
      </fill>
    </dxf>
  </rfmt>
  <rfmt sheetId="9" sqref="S53" start="0" length="0">
    <dxf>
      <fill>
        <patternFill patternType="none">
          <bgColor indexed="65"/>
        </patternFill>
      </fill>
    </dxf>
  </rfmt>
  <rfmt sheetId="9" sqref="T53" start="0" length="0">
    <dxf>
      <fill>
        <patternFill patternType="none">
          <bgColor indexed="65"/>
        </patternFill>
      </fill>
    </dxf>
  </rfmt>
  <rfmt sheetId="9" sqref="O54" start="0" length="0">
    <dxf>
      <numFmt numFmtId="0" formatCode="General"/>
      <fill>
        <patternFill patternType="none">
          <bgColor indexed="65"/>
        </patternFill>
      </fill>
    </dxf>
  </rfmt>
  <rfmt sheetId="9" sqref="P54" start="0" length="0">
    <dxf>
      <fill>
        <patternFill patternType="none">
          <bgColor indexed="65"/>
        </patternFill>
      </fill>
    </dxf>
  </rfmt>
  <rfmt sheetId="9" sqref="Q54" start="0" length="0">
    <dxf>
      <fill>
        <patternFill patternType="none">
          <bgColor indexed="65"/>
        </patternFill>
      </fill>
    </dxf>
  </rfmt>
  <rfmt sheetId="9" sqref="R54" start="0" length="0">
    <dxf>
      <fill>
        <patternFill patternType="none">
          <bgColor indexed="65"/>
        </patternFill>
      </fill>
    </dxf>
  </rfmt>
  <rfmt sheetId="9" sqref="S54" start="0" length="0">
    <dxf>
      <fill>
        <patternFill patternType="none">
          <bgColor indexed="65"/>
        </patternFill>
      </fill>
    </dxf>
  </rfmt>
  <rfmt sheetId="9" sqref="T54" start="0" length="0">
    <dxf>
      <fill>
        <patternFill patternType="none">
          <bgColor indexed="65"/>
        </patternFill>
      </fill>
    </dxf>
  </rfmt>
  <rfmt sheetId="9" sqref="O55" start="0" length="0">
    <dxf>
      <numFmt numFmtId="0" formatCode="General"/>
      <fill>
        <patternFill patternType="none">
          <bgColor indexed="65"/>
        </patternFill>
      </fill>
    </dxf>
  </rfmt>
  <rfmt sheetId="9" sqref="P55" start="0" length="0">
    <dxf>
      <fill>
        <patternFill patternType="none">
          <bgColor indexed="65"/>
        </patternFill>
      </fill>
    </dxf>
  </rfmt>
  <rfmt sheetId="9" sqref="Q55" start="0" length="0">
    <dxf>
      <fill>
        <patternFill patternType="none">
          <bgColor indexed="65"/>
        </patternFill>
      </fill>
    </dxf>
  </rfmt>
  <rfmt sheetId="9" sqref="R55" start="0" length="0">
    <dxf>
      <fill>
        <patternFill patternType="none">
          <bgColor indexed="65"/>
        </patternFill>
      </fill>
    </dxf>
  </rfmt>
  <rfmt sheetId="9" sqref="S55" start="0" length="0">
    <dxf>
      <fill>
        <patternFill patternType="none">
          <bgColor indexed="65"/>
        </patternFill>
      </fill>
    </dxf>
  </rfmt>
  <rfmt sheetId="9" sqref="T55" start="0" length="0">
    <dxf>
      <fill>
        <patternFill patternType="none">
          <bgColor indexed="65"/>
        </patternFill>
      </fill>
    </dxf>
  </rfmt>
  <rfmt sheetId="9" sqref="O56" start="0" length="0">
    <dxf>
      <numFmt numFmtId="0" formatCode="General"/>
      <fill>
        <patternFill patternType="none">
          <bgColor indexed="65"/>
        </patternFill>
      </fill>
    </dxf>
  </rfmt>
  <rcc rId="657" sId="9" odxf="1" dxf="1">
    <oc r="P56">
      <f>N53+N54+N55+N56-Bilans!C18-Bilans!C19-Bilans!C20-Bilans!C21</f>
    </oc>
    <nc r="P56"/>
    <odxf>
      <numFmt numFmtId="171" formatCode="_-* #,##0&quot;   &quot;;[Red]\(#,##0\)&quot;  &quot;;&quot;-   &quot;"/>
      <fill>
        <patternFill patternType="solid">
          <bgColor rgb="FFFFFF0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56" start="0" length="0">
    <dxf>
      <fill>
        <patternFill patternType="none">
          <bgColor indexed="65"/>
        </patternFill>
      </fill>
    </dxf>
  </rfmt>
  <rfmt sheetId="9" sqref="R56" start="0" length="0">
    <dxf>
      <fill>
        <patternFill patternType="none">
          <bgColor indexed="65"/>
        </patternFill>
      </fill>
    </dxf>
  </rfmt>
  <rfmt sheetId="9" sqref="S56" start="0" length="0">
    <dxf>
      <fill>
        <patternFill patternType="none">
          <bgColor indexed="65"/>
        </patternFill>
      </fill>
    </dxf>
  </rfmt>
  <rfmt sheetId="9" sqref="T56" start="0" length="0">
    <dxf>
      <fill>
        <patternFill patternType="none">
          <bgColor indexed="65"/>
        </patternFill>
      </fill>
    </dxf>
  </rfmt>
  <rfmt sheetId="9" sqref="O57" start="0" length="0">
    <dxf>
      <numFmt numFmtId="0" formatCode="General"/>
      <fill>
        <patternFill patternType="none">
          <bgColor indexed="65"/>
        </patternFill>
      </fill>
    </dxf>
  </rfmt>
  <rcc rId="658" sId="9" odxf="1" dxf="1">
    <oc r="P57">
      <f>N57-Bilans!C22</f>
    </oc>
    <nc r="P57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57" start="0" length="0">
    <dxf>
      <fill>
        <patternFill patternType="none">
          <bgColor indexed="65"/>
        </patternFill>
      </fill>
    </dxf>
  </rfmt>
  <rfmt sheetId="9" sqref="R57" start="0" length="0">
    <dxf>
      <fill>
        <patternFill patternType="none">
          <bgColor indexed="65"/>
        </patternFill>
      </fill>
    </dxf>
  </rfmt>
  <rfmt sheetId="9" sqref="S57" start="0" length="0">
    <dxf>
      <fill>
        <patternFill patternType="none">
          <bgColor indexed="65"/>
        </patternFill>
      </fill>
    </dxf>
  </rfmt>
  <rfmt sheetId="9" sqref="T57" start="0" length="0">
    <dxf>
      <fill>
        <patternFill patternType="none">
          <bgColor indexed="65"/>
        </patternFill>
      </fill>
    </dxf>
  </rfmt>
  <rfmt sheetId="9" sqref="O58" start="0" length="0">
    <dxf>
      <numFmt numFmtId="0" formatCode="General"/>
      <fill>
        <patternFill patternType="none">
          <bgColor indexed="65"/>
        </patternFill>
      </fill>
    </dxf>
  </rfmt>
  <rcc rId="659" sId="9" odxf="1" dxf="1">
    <oc r="P58">
      <f>N58-Bilans!C23</f>
    </oc>
    <nc r="P58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58" start="0" length="0">
    <dxf>
      <fill>
        <patternFill patternType="none">
          <bgColor indexed="65"/>
        </patternFill>
      </fill>
    </dxf>
  </rfmt>
  <rfmt sheetId="9" sqref="R58" start="0" length="0">
    <dxf>
      <fill>
        <patternFill patternType="none">
          <bgColor indexed="65"/>
        </patternFill>
      </fill>
    </dxf>
  </rfmt>
  <rfmt sheetId="9" sqref="S58" start="0" length="0">
    <dxf>
      <fill>
        <patternFill patternType="none">
          <bgColor indexed="65"/>
        </patternFill>
      </fill>
    </dxf>
  </rfmt>
  <rfmt sheetId="9" sqref="T58" start="0" length="0">
    <dxf>
      <fill>
        <patternFill patternType="none">
          <bgColor indexed="65"/>
        </patternFill>
      </fill>
    </dxf>
  </rfmt>
  <rfmt sheetId="9" sqref="O59" start="0" length="0">
    <dxf>
      <numFmt numFmtId="0" formatCode="General"/>
      <fill>
        <patternFill patternType="none">
          <bgColor indexed="65"/>
        </patternFill>
      </fill>
    </dxf>
  </rfmt>
  <rcc rId="660" sId="9" odxf="1" dxf="1">
    <oc r="P59">
      <f>N59-Bilans!C24</f>
    </oc>
    <nc r="P59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59" start="0" length="0">
    <dxf>
      <fill>
        <patternFill patternType="none">
          <bgColor indexed="65"/>
        </patternFill>
      </fill>
    </dxf>
  </rfmt>
  <rfmt sheetId="9" sqref="R59" start="0" length="0">
    <dxf>
      <fill>
        <patternFill patternType="none">
          <bgColor indexed="65"/>
        </patternFill>
      </fill>
    </dxf>
  </rfmt>
  <rfmt sheetId="9" sqref="S59" start="0" length="0">
    <dxf>
      <fill>
        <patternFill patternType="none">
          <bgColor indexed="65"/>
        </patternFill>
      </fill>
    </dxf>
  </rfmt>
  <rfmt sheetId="9" sqref="T59" start="0" length="0">
    <dxf>
      <fill>
        <patternFill patternType="none">
          <bgColor indexed="65"/>
        </patternFill>
      </fill>
    </dxf>
  </rfmt>
  <rfmt sheetId="9" sqref="O60" start="0" length="0">
    <dxf>
      <numFmt numFmtId="0" formatCode="General"/>
      <fill>
        <patternFill patternType="none">
          <bgColor indexed="65"/>
        </patternFill>
      </fill>
    </dxf>
  </rfmt>
  <rfmt sheetId="9" sqref="P60" start="0" length="0">
    <dxf>
      <numFmt numFmtId="0" formatCode="General"/>
      <fill>
        <patternFill patternType="none">
          <bgColor indexed="65"/>
        </patternFill>
      </fill>
    </dxf>
  </rfmt>
  <rfmt sheetId="9" sqref="Q60" start="0" length="0">
    <dxf>
      <fill>
        <patternFill patternType="none">
          <bgColor indexed="65"/>
        </patternFill>
      </fill>
    </dxf>
  </rfmt>
  <rfmt sheetId="9" sqref="R60" start="0" length="0">
    <dxf>
      <fill>
        <patternFill patternType="none">
          <bgColor indexed="65"/>
        </patternFill>
      </fill>
    </dxf>
  </rfmt>
  <rfmt sheetId="9" sqref="S60" start="0" length="0">
    <dxf>
      <fill>
        <patternFill patternType="none">
          <bgColor indexed="65"/>
        </patternFill>
      </fill>
    </dxf>
  </rfmt>
  <rfmt sheetId="9" sqref="T60" start="0" length="0">
    <dxf>
      <fill>
        <patternFill patternType="none">
          <bgColor indexed="65"/>
        </patternFill>
      </fill>
    </dxf>
  </rfmt>
  <rfmt sheetId="9" sqref="O61" start="0" length="0">
    <dxf>
      <numFmt numFmtId="0" formatCode="General"/>
      <fill>
        <patternFill patternType="none">
          <bgColor indexed="65"/>
        </patternFill>
      </fill>
    </dxf>
  </rfmt>
  <rcc rId="661" sId="9" odxf="1" dxf="1">
    <oc r="P61">
      <f>N61-Bilans!C26</f>
    </oc>
    <nc r="P61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61" start="0" length="0">
    <dxf>
      <fill>
        <patternFill patternType="none">
          <bgColor indexed="65"/>
        </patternFill>
      </fill>
    </dxf>
  </rfmt>
  <rfmt sheetId="9" sqref="R61" start="0" length="0">
    <dxf>
      <fill>
        <patternFill patternType="none">
          <bgColor indexed="65"/>
        </patternFill>
      </fill>
    </dxf>
  </rfmt>
  <rfmt sheetId="9" sqref="S61" start="0" length="0">
    <dxf>
      <fill>
        <patternFill patternType="none">
          <bgColor indexed="65"/>
        </patternFill>
      </fill>
    </dxf>
  </rfmt>
  <rfmt sheetId="9" sqref="T61" start="0" length="0">
    <dxf>
      <fill>
        <patternFill patternType="none">
          <bgColor indexed="65"/>
        </patternFill>
      </fill>
    </dxf>
  </rfmt>
  <rfmt sheetId="9" sqref="O62" start="0" length="0">
    <dxf>
      <numFmt numFmtId="0" formatCode="General"/>
      <fill>
        <patternFill patternType="none">
          <bgColor indexed="65"/>
        </patternFill>
      </fill>
    </dxf>
  </rfmt>
  <rfmt sheetId="9" sqref="P62" start="0" length="0">
    <dxf>
      <fill>
        <patternFill patternType="none">
          <bgColor indexed="65"/>
        </patternFill>
      </fill>
    </dxf>
  </rfmt>
  <rfmt sheetId="9" sqref="Q62" start="0" length="0">
    <dxf>
      <fill>
        <patternFill patternType="none">
          <bgColor indexed="65"/>
        </patternFill>
      </fill>
    </dxf>
  </rfmt>
  <rfmt sheetId="9" sqref="R62" start="0" length="0">
    <dxf>
      <fill>
        <patternFill patternType="none">
          <bgColor indexed="65"/>
        </patternFill>
      </fill>
    </dxf>
  </rfmt>
  <rfmt sheetId="9" sqref="S62" start="0" length="0">
    <dxf>
      <fill>
        <patternFill patternType="none">
          <bgColor indexed="65"/>
        </patternFill>
      </fill>
    </dxf>
  </rfmt>
  <rfmt sheetId="9" sqref="T62" start="0" length="0">
    <dxf>
      <fill>
        <patternFill patternType="none">
          <bgColor indexed="65"/>
        </patternFill>
      </fill>
    </dxf>
  </rfmt>
  <rfmt sheetId="9" sqref="O63" start="0" length="0">
    <dxf>
      <numFmt numFmtId="0" formatCode="General"/>
      <fill>
        <patternFill patternType="none">
          <bgColor indexed="65"/>
        </patternFill>
      </fill>
    </dxf>
  </rfmt>
  <rfmt sheetId="9" sqref="P63" start="0" length="0">
    <dxf>
      <fill>
        <patternFill patternType="none">
          <bgColor indexed="65"/>
        </patternFill>
      </fill>
    </dxf>
  </rfmt>
  <rfmt sheetId="9" sqref="Q63" start="0" length="0">
    <dxf>
      <fill>
        <patternFill patternType="none">
          <bgColor indexed="65"/>
        </patternFill>
      </fill>
    </dxf>
  </rfmt>
  <rfmt sheetId="9" sqref="R63" start="0" length="0">
    <dxf>
      <fill>
        <patternFill patternType="none">
          <bgColor indexed="65"/>
        </patternFill>
      </fill>
    </dxf>
  </rfmt>
  <rfmt sheetId="9" sqref="S63" start="0" length="0">
    <dxf>
      <fill>
        <patternFill patternType="none">
          <bgColor indexed="65"/>
        </patternFill>
      </fill>
    </dxf>
  </rfmt>
  <rfmt sheetId="9" sqref="T63" start="0" length="0">
    <dxf>
      <fill>
        <patternFill patternType="none">
          <bgColor indexed="65"/>
        </patternFill>
      </fill>
    </dxf>
  </rfmt>
  <rfmt sheetId="9" sqref="O64" start="0" length="0">
    <dxf>
      <numFmt numFmtId="0" formatCode="General"/>
      <fill>
        <patternFill patternType="none">
          <bgColor indexed="65"/>
        </patternFill>
      </fill>
    </dxf>
  </rfmt>
  <rfmt sheetId="9" sqref="P64" start="0" length="0">
    <dxf>
      <fill>
        <patternFill patternType="none">
          <bgColor indexed="65"/>
        </patternFill>
      </fill>
    </dxf>
  </rfmt>
  <rfmt sheetId="9" sqref="Q64" start="0" length="0">
    <dxf>
      <fill>
        <patternFill patternType="none">
          <bgColor indexed="65"/>
        </patternFill>
      </fill>
    </dxf>
  </rfmt>
  <rfmt sheetId="9" sqref="R64" start="0" length="0">
    <dxf>
      <fill>
        <patternFill patternType="none">
          <bgColor indexed="65"/>
        </patternFill>
      </fill>
    </dxf>
  </rfmt>
  <rfmt sheetId="9" sqref="S64" start="0" length="0">
    <dxf>
      <fill>
        <patternFill patternType="none">
          <bgColor indexed="65"/>
        </patternFill>
      </fill>
    </dxf>
  </rfmt>
  <rfmt sheetId="9" sqref="T64" start="0" length="0">
    <dxf>
      <fill>
        <patternFill patternType="none">
          <bgColor indexed="65"/>
        </patternFill>
      </fill>
    </dxf>
  </rfmt>
  <rfmt sheetId="9" sqref="O65" start="0" length="0">
    <dxf>
      <numFmt numFmtId="0" formatCode="General"/>
      <fill>
        <patternFill patternType="none">
          <bgColor indexed="65"/>
        </patternFill>
      </fill>
    </dxf>
  </rfmt>
  <rcc rId="662" sId="9" odxf="1" dxf="1">
    <oc r="P65">
      <f>N65-Bilans!C30</f>
    </oc>
    <nc r="P65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65" start="0" length="0">
    <dxf>
      <fill>
        <patternFill patternType="none">
          <bgColor indexed="65"/>
        </patternFill>
      </fill>
    </dxf>
  </rfmt>
  <rfmt sheetId="9" sqref="R65" start="0" length="0">
    <dxf>
      <fill>
        <patternFill patternType="none">
          <bgColor indexed="65"/>
        </patternFill>
      </fill>
    </dxf>
  </rfmt>
  <rfmt sheetId="9" sqref="S65" start="0" length="0">
    <dxf>
      <fill>
        <patternFill patternType="none">
          <bgColor indexed="65"/>
        </patternFill>
      </fill>
    </dxf>
  </rfmt>
  <rfmt sheetId="9" sqref="T65" start="0" length="0">
    <dxf>
      <fill>
        <patternFill patternType="none">
          <bgColor indexed="65"/>
        </patternFill>
      </fill>
    </dxf>
  </rfmt>
  <rfmt sheetId="9" sqref="O66" start="0" length="0">
    <dxf>
      <numFmt numFmtId="0" formatCode="General"/>
      <fill>
        <patternFill patternType="none">
          <bgColor indexed="65"/>
        </patternFill>
      </fill>
    </dxf>
  </rfmt>
  <rcc rId="663" sId="9" odxf="1" dxf="1">
    <oc r="P66">
      <f>N66-Bilans!C31</f>
    </oc>
    <nc r="P66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66" start="0" length="0">
    <dxf>
      <fill>
        <patternFill patternType="none">
          <bgColor indexed="65"/>
        </patternFill>
      </fill>
    </dxf>
  </rfmt>
  <rfmt sheetId="9" sqref="R66" start="0" length="0">
    <dxf>
      <fill>
        <patternFill patternType="none">
          <bgColor indexed="65"/>
        </patternFill>
      </fill>
    </dxf>
  </rfmt>
  <rfmt sheetId="9" sqref="S66" start="0" length="0">
    <dxf>
      <fill>
        <patternFill patternType="none">
          <bgColor indexed="65"/>
        </patternFill>
      </fill>
    </dxf>
  </rfmt>
  <rfmt sheetId="9" sqref="T66" start="0" length="0">
    <dxf>
      <fill>
        <patternFill patternType="none">
          <bgColor indexed="65"/>
        </patternFill>
      </fill>
    </dxf>
  </rfmt>
  <rfmt sheetId="9" sqref="O67" start="0" length="0">
    <dxf>
      <numFmt numFmtId="0" formatCode="General"/>
      <fill>
        <patternFill patternType="none">
          <bgColor indexed="65"/>
        </patternFill>
      </fill>
    </dxf>
  </rfmt>
  <rcc rId="664" sId="9" odxf="1" dxf="1">
    <oc r="P67">
      <f>N67-Bilans!C32</f>
    </oc>
    <nc r="P67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67" start="0" length="0">
    <dxf>
      <fill>
        <patternFill patternType="none">
          <bgColor indexed="65"/>
        </patternFill>
      </fill>
    </dxf>
  </rfmt>
  <rfmt sheetId="9" sqref="R67" start="0" length="0">
    <dxf>
      <fill>
        <patternFill patternType="none">
          <bgColor indexed="65"/>
        </patternFill>
      </fill>
    </dxf>
  </rfmt>
  <rfmt sheetId="9" sqref="S67" start="0" length="0">
    <dxf>
      <fill>
        <patternFill patternType="none">
          <bgColor indexed="65"/>
        </patternFill>
      </fill>
    </dxf>
  </rfmt>
  <rfmt sheetId="9" sqref="T67" start="0" length="0">
    <dxf>
      <fill>
        <patternFill patternType="none">
          <bgColor indexed="65"/>
        </patternFill>
      </fill>
    </dxf>
  </rfmt>
  <rfmt sheetId="9" sqref="O68" start="0" length="0">
    <dxf>
      <numFmt numFmtId="0" formatCode="General"/>
      <fill>
        <patternFill patternType="none">
          <bgColor indexed="65"/>
        </patternFill>
      </fill>
    </dxf>
  </rfmt>
  <rcc rId="665" sId="9" odxf="1" dxf="1">
    <oc r="P68">
      <f>N68</f>
    </oc>
    <nc r="P68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68" start="0" length="0">
    <dxf>
      <fill>
        <patternFill patternType="none">
          <bgColor indexed="65"/>
        </patternFill>
      </fill>
    </dxf>
  </rfmt>
  <rfmt sheetId="9" sqref="R68" start="0" length="0">
    <dxf>
      <fill>
        <patternFill patternType="none">
          <bgColor indexed="65"/>
        </patternFill>
      </fill>
    </dxf>
  </rfmt>
  <rfmt sheetId="9" sqref="S68" start="0" length="0">
    <dxf>
      <fill>
        <patternFill patternType="none">
          <bgColor indexed="65"/>
        </patternFill>
      </fill>
    </dxf>
  </rfmt>
  <rfmt sheetId="9" sqref="T68" start="0" length="0">
    <dxf>
      <fill>
        <patternFill patternType="none">
          <bgColor indexed="65"/>
        </patternFill>
      </fill>
    </dxf>
  </rfmt>
  <rfmt sheetId="9" sqref="O69" start="0" length="0">
    <dxf>
      <numFmt numFmtId="0" formatCode="General"/>
      <fill>
        <patternFill patternType="none">
          <bgColor indexed="65"/>
        </patternFill>
      </fill>
    </dxf>
  </rfmt>
  <rcc rId="666" sId="9" odxf="1" dxf="1">
    <oc r="P69">
      <f>N69-Bilans!C33</f>
    </oc>
    <nc r="P69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69" start="0" length="0">
    <dxf>
      <fill>
        <patternFill patternType="none">
          <bgColor indexed="65"/>
        </patternFill>
      </fill>
    </dxf>
  </rfmt>
  <rfmt sheetId="9" sqref="R69" start="0" length="0">
    <dxf>
      <fill>
        <patternFill patternType="none">
          <bgColor indexed="65"/>
        </patternFill>
      </fill>
    </dxf>
  </rfmt>
  <rfmt sheetId="9" sqref="S69" start="0" length="0">
    <dxf>
      <fill>
        <patternFill patternType="none">
          <bgColor indexed="65"/>
        </patternFill>
      </fill>
    </dxf>
  </rfmt>
  <rfmt sheetId="9" sqref="T69" start="0" length="0">
    <dxf>
      <fill>
        <patternFill patternType="none">
          <bgColor indexed="65"/>
        </patternFill>
      </fill>
    </dxf>
  </rfmt>
  <rfmt sheetId="9" sqref="O70" start="0" length="0">
    <dxf>
      <numFmt numFmtId="0" formatCode="General"/>
      <fill>
        <patternFill patternType="none">
          <bgColor indexed="65"/>
        </patternFill>
      </fill>
    </dxf>
  </rfmt>
  <rcc rId="667" sId="9" odxf="1" dxf="1">
    <oc r="P70">
      <f>N70-Bilans!C34</f>
    </oc>
    <nc r="P70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70" start="0" length="0">
    <dxf>
      <fill>
        <patternFill patternType="none">
          <bgColor indexed="65"/>
        </patternFill>
      </fill>
    </dxf>
  </rfmt>
  <rfmt sheetId="9" sqref="R70" start="0" length="0">
    <dxf>
      <fill>
        <patternFill patternType="none">
          <bgColor indexed="65"/>
        </patternFill>
      </fill>
    </dxf>
  </rfmt>
  <rfmt sheetId="9" sqref="S70" start="0" length="0">
    <dxf>
      <fill>
        <patternFill patternType="none">
          <bgColor indexed="65"/>
        </patternFill>
      </fill>
    </dxf>
  </rfmt>
  <rfmt sheetId="9" sqref="T70" start="0" length="0">
    <dxf>
      <fill>
        <patternFill patternType="none">
          <bgColor indexed="65"/>
        </patternFill>
      </fill>
    </dxf>
  </rfmt>
  <rfmt sheetId="9" sqref="O71" start="0" length="0">
    <dxf>
      <numFmt numFmtId="0" formatCode="General"/>
      <fill>
        <patternFill patternType="none">
          <bgColor indexed="65"/>
        </patternFill>
      </fill>
    </dxf>
  </rfmt>
  <rcc rId="668" sId="9" odxf="1" dxf="1">
    <oc r="P71">
      <f>N71-Bilans!C35</f>
    </oc>
    <nc r="P71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71" start="0" length="0">
    <dxf>
      <fill>
        <patternFill patternType="none">
          <bgColor indexed="65"/>
        </patternFill>
      </fill>
    </dxf>
  </rfmt>
  <rfmt sheetId="9" sqref="R71" start="0" length="0">
    <dxf>
      <fill>
        <patternFill patternType="none">
          <bgColor indexed="65"/>
        </patternFill>
      </fill>
    </dxf>
  </rfmt>
  <rfmt sheetId="9" sqref="S71" start="0" length="0">
    <dxf>
      <fill>
        <patternFill patternType="none">
          <bgColor indexed="65"/>
        </patternFill>
      </fill>
    </dxf>
  </rfmt>
  <rfmt sheetId="9" sqref="T71" start="0" length="0">
    <dxf>
      <fill>
        <patternFill patternType="none">
          <bgColor indexed="65"/>
        </patternFill>
      </fill>
    </dxf>
  </rfmt>
  <rfmt sheetId="9" sqref="O72" start="0" length="0">
    <dxf>
      <numFmt numFmtId="0" formatCode="General"/>
      <fill>
        <patternFill patternType="none">
          <bgColor indexed="65"/>
        </patternFill>
      </fill>
    </dxf>
  </rfmt>
  <rfmt sheetId="9" sqref="P72" start="0" length="0">
    <dxf>
      <fill>
        <patternFill patternType="none">
          <bgColor indexed="65"/>
        </patternFill>
      </fill>
    </dxf>
  </rfmt>
  <rfmt sheetId="9" sqref="Q72" start="0" length="0">
    <dxf>
      <fill>
        <patternFill patternType="none">
          <bgColor indexed="65"/>
        </patternFill>
      </fill>
    </dxf>
  </rfmt>
  <rfmt sheetId="9" sqref="R72" start="0" length="0">
    <dxf>
      <fill>
        <patternFill patternType="none">
          <bgColor indexed="65"/>
        </patternFill>
      </fill>
    </dxf>
  </rfmt>
  <rfmt sheetId="9" sqref="S72" start="0" length="0">
    <dxf>
      <fill>
        <patternFill patternType="none">
          <bgColor indexed="65"/>
        </patternFill>
      </fill>
    </dxf>
  </rfmt>
  <rfmt sheetId="9" sqref="T72" start="0" length="0">
    <dxf>
      <fill>
        <patternFill patternType="none">
          <bgColor indexed="65"/>
        </patternFill>
      </fill>
    </dxf>
  </rfmt>
  <rfmt sheetId="9" sqref="O73" start="0" length="0">
    <dxf>
      <numFmt numFmtId="0" formatCode="General"/>
      <fill>
        <patternFill patternType="none">
          <bgColor indexed="65"/>
        </patternFill>
      </fill>
    </dxf>
  </rfmt>
  <rcc rId="669" sId="9" odxf="1" dxf="1">
    <oc r="P73">
      <f>N73-Bilans!C37</f>
    </oc>
    <nc r="P73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73" start="0" length="0">
    <dxf>
      <fill>
        <patternFill patternType="none">
          <bgColor indexed="65"/>
        </patternFill>
      </fill>
    </dxf>
  </rfmt>
  <rfmt sheetId="9" sqref="R73" start="0" length="0">
    <dxf>
      <fill>
        <patternFill patternType="none">
          <bgColor indexed="65"/>
        </patternFill>
      </fill>
    </dxf>
  </rfmt>
  <rfmt sheetId="9" sqref="S73" start="0" length="0">
    <dxf>
      <fill>
        <patternFill patternType="none">
          <bgColor indexed="65"/>
        </patternFill>
      </fill>
    </dxf>
  </rfmt>
  <rfmt sheetId="9" sqref="T73" start="0" length="0">
    <dxf>
      <fill>
        <patternFill patternType="none">
          <bgColor indexed="65"/>
        </patternFill>
      </fill>
    </dxf>
  </rfmt>
  <rfmt sheetId="9" sqref="O74" start="0" length="0">
    <dxf>
      <numFmt numFmtId="0" formatCode="General"/>
      <fill>
        <patternFill patternType="none">
          <bgColor indexed="65"/>
        </patternFill>
      </fill>
    </dxf>
  </rfmt>
  <rfmt sheetId="9" sqref="P74" start="0" length="0">
    <dxf>
      <fill>
        <patternFill patternType="none">
          <bgColor indexed="65"/>
        </patternFill>
      </fill>
    </dxf>
  </rfmt>
  <rfmt sheetId="9" sqref="Q74" start="0" length="0">
    <dxf>
      <fill>
        <patternFill patternType="none">
          <bgColor indexed="65"/>
        </patternFill>
      </fill>
    </dxf>
  </rfmt>
  <rfmt sheetId="9" sqref="R74" start="0" length="0">
    <dxf>
      <fill>
        <patternFill patternType="none">
          <bgColor indexed="65"/>
        </patternFill>
      </fill>
    </dxf>
  </rfmt>
  <rfmt sheetId="9" sqref="S74" start="0" length="0">
    <dxf>
      <fill>
        <patternFill patternType="none">
          <bgColor indexed="65"/>
        </patternFill>
      </fill>
    </dxf>
  </rfmt>
  <rfmt sheetId="9" sqref="T74" start="0" length="0">
    <dxf>
      <fill>
        <patternFill patternType="none">
          <bgColor indexed="65"/>
        </patternFill>
      </fill>
    </dxf>
  </rfmt>
  <rfmt sheetId="9" sqref="O75" start="0" length="0">
    <dxf>
      <numFmt numFmtId="0" formatCode="General"/>
      <fill>
        <patternFill patternType="none">
          <bgColor indexed="65"/>
        </patternFill>
      </fill>
    </dxf>
  </rfmt>
  <rcc rId="670" sId="9" odxf="1" dxf="1">
    <oc r="P75">
      <f>N75-Bilans!C39</f>
    </oc>
    <nc r="P75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75" start="0" length="0">
    <dxf>
      <fill>
        <patternFill patternType="none">
          <bgColor indexed="65"/>
        </patternFill>
      </fill>
    </dxf>
  </rfmt>
  <rfmt sheetId="9" sqref="R75" start="0" length="0">
    <dxf>
      <fill>
        <patternFill patternType="none">
          <bgColor indexed="65"/>
        </patternFill>
      </fill>
    </dxf>
  </rfmt>
  <rfmt sheetId="9" sqref="S75" start="0" length="0">
    <dxf>
      <fill>
        <patternFill patternType="none">
          <bgColor indexed="65"/>
        </patternFill>
      </fill>
    </dxf>
  </rfmt>
  <rfmt sheetId="9" sqref="T75" start="0" length="0">
    <dxf>
      <fill>
        <patternFill patternType="none">
          <bgColor indexed="65"/>
        </patternFill>
      </fill>
    </dxf>
  </rfmt>
  <rfmt sheetId="9" sqref="O76" start="0" length="0">
    <dxf>
      <numFmt numFmtId="0" formatCode="General"/>
      <fill>
        <patternFill patternType="none">
          <bgColor indexed="65"/>
        </patternFill>
      </fill>
    </dxf>
  </rfmt>
  <rfmt sheetId="9" sqref="P76" start="0" length="0">
    <dxf>
      <fill>
        <patternFill patternType="none">
          <bgColor indexed="65"/>
        </patternFill>
      </fill>
    </dxf>
  </rfmt>
  <rfmt sheetId="9" sqref="Q76" start="0" length="0">
    <dxf>
      <fill>
        <patternFill patternType="none">
          <bgColor indexed="65"/>
        </patternFill>
      </fill>
    </dxf>
  </rfmt>
  <rfmt sheetId="9" sqref="R76" start="0" length="0">
    <dxf>
      <fill>
        <patternFill patternType="none">
          <bgColor indexed="65"/>
        </patternFill>
      </fill>
    </dxf>
  </rfmt>
  <rfmt sheetId="9" sqref="S76" start="0" length="0">
    <dxf>
      <fill>
        <patternFill patternType="none">
          <bgColor indexed="65"/>
        </patternFill>
      </fill>
    </dxf>
  </rfmt>
  <rfmt sheetId="9" sqref="T76" start="0" length="0">
    <dxf>
      <fill>
        <patternFill patternType="none">
          <bgColor indexed="65"/>
        </patternFill>
      </fill>
    </dxf>
  </rfmt>
  <rfmt sheetId="9" sqref="O77" start="0" length="0">
    <dxf>
      <numFmt numFmtId="0" formatCode="General"/>
      <fill>
        <patternFill patternType="none">
          <bgColor indexed="65"/>
        </patternFill>
      </fill>
    </dxf>
  </rfmt>
  <rfmt sheetId="9" sqref="P77" start="0" length="0">
    <dxf>
      <fill>
        <patternFill patternType="none">
          <bgColor indexed="65"/>
        </patternFill>
      </fill>
    </dxf>
  </rfmt>
  <rfmt sheetId="9" sqref="Q77" start="0" length="0">
    <dxf>
      <fill>
        <patternFill patternType="none">
          <bgColor indexed="65"/>
        </patternFill>
      </fill>
    </dxf>
  </rfmt>
  <rfmt sheetId="9" sqref="R77" start="0" length="0">
    <dxf>
      <fill>
        <patternFill patternType="none">
          <bgColor indexed="65"/>
        </patternFill>
      </fill>
    </dxf>
  </rfmt>
  <rfmt sheetId="9" sqref="S77" start="0" length="0">
    <dxf>
      <fill>
        <patternFill patternType="none">
          <bgColor indexed="65"/>
        </patternFill>
      </fill>
    </dxf>
  </rfmt>
  <rfmt sheetId="9" sqref="T77" start="0" length="0">
    <dxf>
      <fill>
        <patternFill patternType="none">
          <bgColor indexed="65"/>
        </patternFill>
      </fill>
    </dxf>
  </rfmt>
  <rfmt sheetId="9" sqref="O78" start="0" length="0">
    <dxf>
      <numFmt numFmtId="0" formatCode="General"/>
      <fill>
        <patternFill patternType="none">
          <bgColor indexed="65"/>
        </patternFill>
      </fill>
    </dxf>
  </rfmt>
  <rfmt sheetId="9" sqref="P78" start="0" length="0">
    <dxf>
      <fill>
        <patternFill patternType="none">
          <bgColor indexed="65"/>
        </patternFill>
      </fill>
    </dxf>
  </rfmt>
  <rfmt sheetId="9" sqref="Q78" start="0" length="0">
    <dxf>
      <fill>
        <patternFill patternType="none">
          <bgColor indexed="65"/>
        </patternFill>
      </fill>
    </dxf>
  </rfmt>
  <rfmt sheetId="9" sqref="R78" start="0" length="0">
    <dxf>
      <fill>
        <patternFill patternType="none">
          <bgColor indexed="65"/>
        </patternFill>
      </fill>
    </dxf>
  </rfmt>
  <rfmt sheetId="9" sqref="S78" start="0" length="0">
    <dxf>
      <fill>
        <patternFill patternType="none">
          <bgColor indexed="65"/>
        </patternFill>
      </fill>
    </dxf>
  </rfmt>
  <rfmt sheetId="9" sqref="T78" start="0" length="0">
    <dxf>
      <fill>
        <patternFill patternType="none">
          <bgColor indexed="65"/>
        </patternFill>
      </fill>
    </dxf>
  </rfmt>
  <rfmt sheetId="9" sqref="O79" start="0" length="0">
    <dxf>
      <numFmt numFmtId="0" formatCode="General"/>
      <fill>
        <patternFill patternType="none">
          <bgColor indexed="65"/>
        </patternFill>
      </fill>
    </dxf>
  </rfmt>
  <rcc rId="671" sId="9" odxf="1" dxf="1">
    <oc r="P79">
      <f>N78+N79-Bilans!C42</f>
    </oc>
    <nc r="P79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79" start="0" length="0">
    <dxf>
      <fill>
        <patternFill patternType="none">
          <bgColor indexed="65"/>
        </patternFill>
      </fill>
    </dxf>
  </rfmt>
  <rfmt sheetId="9" sqref="R79" start="0" length="0">
    <dxf>
      <fill>
        <patternFill patternType="none">
          <bgColor indexed="65"/>
        </patternFill>
      </fill>
    </dxf>
  </rfmt>
  <rfmt sheetId="9" sqref="S79" start="0" length="0">
    <dxf>
      <fill>
        <patternFill patternType="none">
          <bgColor indexed="65"/>
        </patternFill>
      </fill>
    </dxf>
  </rfmt>
  <rfmt sheetId="9" sqref="T79" start="0" length="0">
    <dxf>
      <fill>
        <patternFill patternType="none">
          <bgColor indexed="65"/>
        </patternFill>
      </fill>
    </dxf>
  </rfmt>
  <rfmt sheetId="9" sqref="O80" start="0" length="0">
    <dxf>
      <numFmt numFmtId="0" formatCode="General"/>
      <fill>
        <patternFill patternType="none">
          <bgColor indexed="65"/>
        </patternFill>
      </fill>
    </dxf>
  </rfmt>
  <rfmt sheetId="9" sqref="P80" start="0" length="0">
    <dxf>
      <numFmt numFmtId="0" formatCode="General"/>
      <fill>
        <patternFill patternType="none">
          <bgColor indexed="65"/>
        </patternFill>
      </fill>
    </dxf>
  </rfmt>
  <rfmt sheetId="9" sqref="Q80" start="0" length="0">
    <dxf>
      <fill>
        <patternFill patternType="none">
          <bgColor indexed="65"/>
        </patternFill>
      </fill>
    </dxf>
  </rfmt>
  <rfmt sheetId="9" sqref="R80" start="0" length="0">
    <dxf>
      <fill>
        <patternFill patternType="none">
          <bgColor indexed="65"/>
        </patternFill>
      </fill>
    </dxf>
  </rfmt>
  <rfmt sheetId="9" sqref="S80" start="0" length="0">
    <dxf>
      <fill>
        <patternFill patternType="none">
          <bgColor indexed="65"/>
        </patternFill>
      </fill>
    </dxf>
  </rfmt>
  <rfmt sheetId="9" sqref="T80" start="0" length="0">
    <dxf>
      <fill>
        <patternFill patternType="none">
          <bgColor indexed="65"/>
        </patternFill>
      </fill>
    </dxf>
  </rfmt>
  <rfmt sheetId="9" sqref="O81" start="0" length="0">
    <dxf>
      <numFmt numFmtId="0" formatCode="General"/>
      <fill>
        <patternFill patternType="none">
          <bgColor indexed="65"/>
        </patternFill>
      </fill>
    </dxf>
  </rfmt>
  <rcc rId="672" sId="9" odxf="1" dxf="1">
    <oc r="P81">
      <f>N80+N81-Bilans!C47</f>
    </oc>
    <nc r="P81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81" start="0" length="0">
    <dxf>
      <fill>
        <patternFill patternType="none">
          <bgColor indexed="65"/>
        </patternFill>
      </fill>
    </dxf>
  </rfmt>
  <rfmt sheetId="9" sqref="R81" start="0" length="0">
    <dxf>
      <fill>
        <patternFill patternType="none">
          <bgColor indexed="65"/>
        </patternFill>
      </fill>
    </dxf>
  </rfmt>
  <rfmt sheetId="9" sqref="S81" start="0" length="0">
    <dxf>
      <fill>
        <patternFill patternType="none">
          <bgColor indexed="65"/>
        </patternFill>
      </fill>
    </dxf>
  </rfmt>
  <rfmt sheetId="9" sqref="T81" start="0" length="0">
    <dxf>
      <fill>
        <patternFill patternType="none">
          <bgColor indexed="65"/>
        </patternFill>
      </fill>
    </dxf>
  </rfmt>
  <rfmt sheetId="9" sqref="O82" start="0" length="0">
    <dxf>
      <numFmt numFmtId="0" formatCode="General"/>
      <fill>
        <patternFill patternType="none">
          <bgColor indexed="65"/>
        </patternFill>
      </fill>
    </dxf>
  </rfmt>
  <rcc rId="673" sId="9" odxf="1" dxf="1">
    <oc r="P82">
      <f>N82-Bilans!C43</f>
    </oc>
    <nc r="P82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82" start="0" length="0">
    <dxf>
      <fill>
        <patternFill patternType="none">
          <bgColor indexed="65"/>
        </patternFill>
      </fill>
    </dxf>
  </rfmt>
  <rfmt sheetId="9" sqref="R82" start="0" length="0">
    <dxf>
      <fill>
        <patternFill patternType="none">
          <bgColor indexed="65"/>
        </patternFill>
      </fill>
    </dxf>
  </rfmt>
  <rfmt sheetId="9" sqref="S82" start="0" length="0">
    <dxf>
      <fill>
        <patternFill patternType="none">
          <bgColor indexed="65"/>
        </patternFill>
      </fill>
    </dxf>
  </rfmt>
  <rfmt sheetId="9" sqref="T82" start="0" length="0">
    <dxf>
      <fill>
        <patternFill patternType="none">
          <bgColor indexed="65"/>
        </patternFill>
      </fill>
    </dxf>
  </rfmt>
  <rfmt sheetId="9" sqref="O83" start="0" length="0">
    <dxf>
      <numFmt numFmtId="0" formatCode="General"/>
      <fill>
        <patternFill patternType="none">
          <bgColor indexed="65"/>
        </patternFill>
      </fill>
    </dxf>
  </rfmt>
  <rcc rId="674" sId="9" odxf="1" dxf="1">
    <oc r="P83">
      <f>N83-Bilans!C44</f>
    </oc>
    <nc r="P83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83" start="0" length="0">
    <dxf>
      <fill>
        <patternFill patternType="none">
          <bgColor indexed="65"/>
        </patternFill>
      </fill>
    </dxf>
  </rfmt>
  <rfmt sheetId="9" sqref="R83" start="0" length="0">
    <dxf>
      <fill>
        <patternFill patternType="none">
          <bgColor indexed="65"/>
        </patternFill>
      </fill>
    </dxf>
  </rfmt>
  <rfmt sheetId="9" sqref="S83" start="0" length="0">
    <dxf>
      <fill>
        <patternFill patternType="none">
          <bgColor indexed="65"/>
        </patternFill>
      </fill>
    </dxf>
  </rfmt>
  <rfmt sheetId="9" sqref="T83" start="0" length="0">
    <dxf>
      <fill>
        <patternFill patternType="none">
          <bgColor indexed="65"/>
        </patternFill>
      </fill>
    </dxf>
  </rfmt>
  <rfmt sheetId="9" sqref="O84" start="0" length="0">
    <dxf>
      <numFmt numFmtId="0" formatCode="General"/>
      <fill>
        <patternFill patternType="none">
          <bgColor indexed="65"/>
        </patternFill>
      </fill>
    </dxf>
  </rfmt>
  <rcc rId="675" sId="9" odxf="1" dxf="1">
    <oc r="P84">
      <f>N84-Bilans!C45</f>
    </oc>
    <nc r="P84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84" start="0" length="0">
    <dxf>
      <fill>
        <patternFill patternType="none">
          <bgColor indexed="65"/>
        </patternFill>
      </fill>
    </dxf>
  </rfmt>
  <rfmt sheetId="9" sqref="R84" start="0" length="0">
    <dxf>
      <fill>
        <patternFill patternType="none">
          <bgColor indexed="65"/>
        </patternFill>
      </fill>
    </dxf>
  </rfmt>
  <rfmt sheetId="9" sqref="S84" start="0" length="0">
    <dxf>
      <fill>
        <patternFill patternType="none">
          <bgColor indexed="65"/>
        </patternFill>
      </fill>
    </dxf>
  </rfmt>
  <rfmt sheetId="9" sqref="T84" start="0" length="0">
    <dxf>
      <fill>
        <patternFill patternType="none">
          <bgColor indexed="65"/>
        </patternFill>
      </fill>
    </dxf>
  </rfmt>
  <rfmt sheetId="9" sqref="O85" start="0" length="0">
    <dxf>
      <numFmt numFmtId="0" formatCode="General"/>
      <fill>
        <patternFill patternType="none">
          <bgColor indexed="65"/>
        </patternFill>
      </fill>
    </dxf>
  </rfmt>
  <rcc rId="676" sId="9" odxf="1" dxf="1">
    <oc r="P85">
      <f>N85-Bilans!C46</f>
    </oc>
    <nc r="P85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85" start="0" length="0">
    <dxf>
      <fill>
        <patternFill patternType="none">
          <bgColor indexed="65"/>
        </patternFill>
      </fill>
    </dxf>
  </rfmt>
  <rfmt sheetId="9" sqref="R85" start="0" length="0">
    <dxf>
      <fill>
        <patternFill patternType="none">
          <bgColor indexed="65"/>
        </patternFill>
      </fill>
    </dxf>
  </rfmt>
  <rfmt sheetId="9" sqref="S85" start="0" length="0">
    <dxf>
      <fill>
        <patternFill patternType="none">
          <bgColor indexed="65"/>
        </patternFill>
      </fill>
    </dxf>
  </rfmt>
  <rfmt sheetId="9" sqref="T85" start="0" length="0">
    <dxf>
      <fill>
        <patternFill patternType="none">
          <bgColor indexed="65"/>
        </patternFill>
      </fill>
    </dxf>
  </rfmt>
  <rfmt sheetId="9" sqref="O86" start="0" length="0">
    <dxf>
      <numFmt numFmtId="0" formatCode="General"/>
      <fill>
        <patternFill patternType="none">
          <bgColor indexed="65"/>
        </patternFill>
      </fill>
    </dxf>
  </rfmt>
  <rcc rId="677" sId="9" odxf="1" dxf="1">
    <oc r="P86">
      <f>N86-Bilans!C48</f>
    </oc>
    <nc r="P86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86" start="0" length="0">
    <dxf>
      <fill>
        <patternFill patternType="none">
          <bgColor indexed="65"/>
        </patternFill>
      </fill>
    </dxf>
  </rfmt>
  <rfmt sheetId="9" sqref="R86" start="0" length="0">
    <dxf>
      <fill>
        <patternFill patternType="none">
          <bgColor indexed="65"/>
        </patternFill>
      </fill>
    </dxf>
  </rfmt>
  <rfmt sheetId="9" sqref="S86" start="0" length="0">
    <dxf>
      <fill>
        <patternFill patternType="none">
          <bgColor indexed="65"/>
        </patternFill>
      </fill>
    </dxf>
  </rfmt>
  <rfmt sheetId="9" sqref="T86" start="0" length="0">
    <dxf>
      <fill>
        <patternFill patternType="none">
          <bgColor indexed="65"/>
        </patternFill>
      </fill>
    </dxf>
  </rfmt>
  <rfmt sheetId="9" sqref="O87" start="0" length="0">
    <dxf>
      <numFmt numFmtId="0" formatCode="General"/>
      <fill>
        <patternFill patternType="none">
          <bgColor indexed="65"/>
        </patternFill>
      </fill>
    </dxf>
  </rfmt>
  <rfmt sheetId="9" sqref="P87" start="0" length="0">
    <dxf>
      <fill>
        <patternFill patternType="none">
          <bgColor indexed="65"/>
        </patternFill>
      </fill>
    </dxf>
  </rfmt>
  <rfmt sheetId="9" sqref="Q87" start="0" length="0">
    <dxf>
      <fill>
        <patternFill patternType="none">
          <bgColor indexed="65"/>
        </patternFill>
      </fill>
    </dxf>
  </rfmt>
  <rfmt sheetId="9" sqref="R87" start="0" length="0">
    <dxf>
      <fill>
        <patternFill patternType="none">
          <bgColor indexed="65"/>
        </patternFill>
      </fill>
    </dxf>
  </rfmt>
  <rfmt sheetId="9" sqref="S87" start="0" length="0">
    <dxf>
      <fill>
        <patternFill patternType="none">
          <bgColor indexed="65"/>
        </patternFill>
      </fill>
    </dxf>
  </rfmt>
  <rfmt sheetId="9" sqref="T87" start="0" length="0">
    <dxf>
      <fill>
        <patternFill patternType="none">
          <bgColor indexed="65"/>
        </patternFill>
      </fill>
    </dxf>
  </rfmt>
  <rfmt sheetId="9" sqref="O88" start="0" length="0">
    <dxf>
      <numFmt numFmtId="0" formatCode="General"/>
      <fill>
        <patternFill patternType="none">
          <bgColor indexed="65"/>
        </patternFill>
      </fill>
    </dxf>
  </rfmt>
  <rfmt sheetId="9" sqref="P88" start="0" length="0">
    <dxf>
      <numFmt numFmtId="0" formatCode="General"/>
      <fill>
        <patternFill patternType="none">
          <bgColor indexed="65"/>
        </patternFill>
      </fill>
    </dxf>
  </rfmt>
  <rfmt sheetId="9" sqref="Q88" start="0" length="0">
    <dxf>
      <fill>
        <patternFill patternType="none">
          <bgColor indexed="65"/>
        </patternFill>
      </fill>
    </dxf>
  </rfmt>
  <rfmt sheetId="9" sqref="R88" start="0" length="0">
    <dxf>
      <fill>
        <patternFill patternType="none">
          <bgColor indexed="65"/>
        </patternFill>
      </fill>
    </dxf>
  </rfmt>
  <rfmt sheetId="9" sqref="S88" start="0" length="0">
    <dxf>
      <fill>
        <patternFill patternType="none">
          <bgColor indexed="65"/>
        </patternFill>
      </fill>
    </dxf>
  </rfmt>
  <rfmt sheetId="9" sqref="T88" start="0" length="0">
    <dxf>
      <fill>
        <patternFill patternType="none">
          <bgColor indexed="65"/>
        </patternFill>
      </fill>
    </dxf>
  </rfmt>
  <rfmt sheetId="9" sqref="O89" start="0" length="0">
    <dxf>
      <numFmt numFmtId="0" formatCode="General"/>
      <fill>
        <patternFill patternType="none">
          <bgColor indexed="65"/>
        </patternFill>
      </fill>
    </dxf>
  </rfmt>
  <rcc rId="678" sId="9" odxf="1" dxf="1">
    <oc r="P89">
      <f>N88+N89-Bilans!C50</f>
    </oc>
    <nc r="P89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89" start="0" length="0">
    <dxf>
      <fill>
        <patternFill patternType="none">
          <bgColor indexed="65"/>
        </patternFill>
      </fill>
    </dxf>
  </rfmt>
  <rfmt sheetId="9" sqref="R89" start="0" length="0">
    <dxf>
      <fill>
        <patternFill patternType="none">
          <bgColor indexed="65"/>
        </patternFill>
      </fill>
    </dxf>
  </rfmt>
  <rfmt sheetId="9" sqref="S89" start="0" length="0">
    <dxf>
      <fill>
        <patternFill patternType="none">
          <bgColor indexed="65"/>
        </patternFill>
      </fill>
    </dxf>
  </rfmt>
  <rfmt sheetId="9" sqref="T89" start="0" length="0">
    <dxf>
      <fill>
        <patternFill patternType="none">
          <bgColor indexed="65"/>
        </patternFill>
      </fill>
    </dxf>
  </rfmt>
  <rfmt sheetId="9" sqref="O90" start="0" length="0">
    <dxf>
      <numFmt numFmtId="0" formatCode="General"/>
      <fill>
        <patternFill patternType="none">
          <bgColor indexed="65"/>
        </patternFill>
      </fill>
    </dxf>
  </rfmt>
  <rcc rId="679" sId="9" odxf="1" dxf="1">
    <oc r="P90">
      <f>N90-Bilans!C52-Bilans!C53-Bilans!C59</f>
    </oc>
    <nc r="P90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90" start="0" length="0">
    <dxf>
      <fill>
        <patternFill patternType="none">
          <bgColor indexed="65"/>
        </patternFill>
      </fill>
    </dxf>
  </rfmt>
  <rfmt sheetId="9" sqref="R90" start="0" length="0">
    <dxf>
      <fill>
        <patternFill patternType="none">
          <bgColor indexed="65"/>
        </patternFill>
      </fill>
    </dxf>
  </rfmt>
  <rfmt sheetId="9" sqref="S90" start="0" length="0">
    <dxf>
      <fill>
        <patternFill patternType="none">
          <bgColor indexed="65"/>
        </patternFill>
      </fill>
    </dxf>
  </rfmt>
  <rfmt sheetId="9" sqref="T90" start="0" length="0">
    <dxf>
      <fill>
        <patternFill patternType="none">
          <bgColor indexed="65"/>
        </patternFill>
      </fill>
    </dxf>
  </rfmt>
  <rfmt sheetId="9" sqref="O91" start="0" length="0">
    <dxf>
      <numFmt numFmtId="0" formatCode="General"/>
      <fill>
        <patternFill patternType="none">
          <bgColor indexed="65"/>
        </patternFill>
      </fill>
    </dxf>
  </rfmt>
  <rcc rId="680" sId="9" odxf="1" dxf="1">
    <oc r="P91">
      <f>N91-Bilans!C51</f>
    </oc>
    <nc r="P91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91" start="0" length="0">
    <dxf>
      <fill>
        <patternFill patternType="none">
          <bgColor indexed="65"/>
        </patternFill>
      </fill>
    </dxf>
  </rfmt>
  <rfmt sheetId="9" sqref="R91" start="0" length="0">
    <dxf>
      <fill>
        <patternFill patternType="none">
          <bgColor indexed="65"/>
        </patternFill>
      </fill>
    </dxf>
  </rfmt>
  <rfmt sheetId="9" sqref="S91" start="0" length="0">
    <dxf>
      <fill>
        <patternFill patternType="none">
          <bgColor indexed="65"/>
        </patternFill>
      </fill>
    </dxf>
  </rfmt>
  <rfmt sheetId="9" sqref="T91" start="0" length="0">
    <dxf>
      <fill>
        <patternFill patternType="none">
          <bgColor indexed="65"/>
        </patternFill>
      </fill>
    </dxf>
  </rfmt>
  <rfmt sheetId="9" sqref="O92" start="0" length="0">
    <dxf>
      <numFmt numFmtId="0" formatCode="General"/>
      <fill>
        <patternFill patternType="none">
          <bgColor indexed="65"/>
        </patternFill>
      </fill>
    </dxf>
  </rfmt>
  <rcc rId="681" sId="9" odxf="1" dxf="1">
    <oc r="P92">
      <f>N92-Bilans!C54</f>
    </oc>
    <nc r="P92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92" start="0" length="0">
    <dxf>
      <fill>
        <patternFill patternType="none">
          <bgColor indexed="65"/>
        </patternFill>
      </fill>
    </dxf>
  </rfmt>
  <rfmt sheetId="9" sqref="R92" start="0" length="0">
    <dxf>
      <fill>
        <patternFill patternType="none">
          <bgColor indexed="65"/>
        </patternFill>
      </fill>
    </dxf>
  </rfmt>
  <rfmt sheetId="9" sqref="S92" start="0" length="0">
    <dxf>
      <fill>
        <patternFill patternType="none">
          <bgColor indexed="65"/>
        </patternFill>
      </fill>
    </dxf>
  </rfmt>
  <rfmt sheetId="9" sqref="T92" start="0" length="0">
    <dxf>
      <fill>
        <patternFill patternType="none">
          <bgColor indexed="65"/>
        </patternFill>
      </fill>
    </dxf>
  </rfmt>
  <rfmt sheetId="9" sqref="O93" start="0" length="0">
    <dxf>
      <numFmt numFmtId="0" formatCode="General"/>
      <fill>
        <patternFill patternType="none">
          <bgColor indexed="65"/>
        </patternFill>
      </fill>
    </dxf>
  </rfmt>
  <rcc rId="682" sId="9" odxf="1" dxf="1">
    <oc r="P93">
      <f>N93-Bilans!C55-Bilans!C56</f>
    </oc>
    <nc r="P93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93" start="0" length="0">
    <dxf>
      <fill>
        <patternFill patternType="none">
          <bgColor indexed="65"/>
        </patternFill>
      </fill>
    </dxf>
  </rfmt>
  <rfmt sheetId="9" sqref="R93" start="0" length="0">
    <dxf>
      <fill>
        <patternFill patternType="none">
          <bgColor indexed="65"/>
        </patternFill>
      </fill>
    </dxf>
  </rfmt>
  <rfmt sheetId="9" sqref="S93" start="0" length="0">
    <dxf>
      <fill>
        <patternFill patternType="none">
          <bgColor indexed="65"/>
        </patternFill>
      </fill>
    </dxf>
  </rfmt>
  <rfmt sheetId="9" sqref="T93" start="0" length="0">
    <dxf>
      <fill>
        <patternFill patternType="none">
          <bgColor indexed="65"/>
        </patternFill>
      </fill>
    </dxf>
  </rfmt>
  <rfmt sheetId="9" sqref="O94" start="0" length="0">
    <dxf>
      <numFmt numFmtId="0" formatCode="General"/>
      <fill>
        <patternFill patternType="none">
          <bgColor indexed="65"/>
        </patternFill>
      </fill>
    </dxf>
  </rfmt>
  <rcc rId="683" sId="9" odxf="1" dxf="1">
    <oc r="P94">
      <f>N94-Bilans!C57</f>
    </oc>
    <nc r="P94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94" start="0" length="0">
    <dxf>
      <fill>
        <patternFill patternType="none">
          <bgColor indexed="65"/>
        </patternFill>
      </fill>
    </dxf>
  </rfmt>
  <rfmt sheetId="9" sqref="R94" start="0" length="0">
    <dxf>
      <fill>
        <patternFill patternType="none">
          <bgColor indexed="65"/>
        </patternFill>
      </fill>
    </dxf>
  </rfmt>
  <rfmt sheetId="9" sqref="S94" start="0" length="0">
    <dxf>
      <fill>
        <patternFill patternType="none">
          <bgColor indexed="65"/>
        </patternFill>
      </fill>
    </dxf>
  </rfmt>
  <rfmt sheetId="9" sqref="T94" start="0" length="0">
    <dxf>
      <fill>
        <patternFill patternType="none">
          <bgColor indexed="65"/>
        </patternFill>
      </fill>
    </dxf>
  </rfmt>
  <rfmt sheetId="9" sqref="O95" start="0" length="0">
    <dxf>
      <numFmt numFmtId="0" formatCode="General"/>
      <fill>
        <patternFill patternType="none">
          <bgColor indexed="65"/>
        </patternFill>
      </fill>
    </dxf>
  </rfmt>
  <rfmt sheetId="9" sqref="P95" start="0" length="0">
    <dxf>
      <numFmt numFmtId="0" formatCode="General"/>
      <fill>
        <patternFill patternType="none">
          <bgColor indexed="65"/>
        </patternFill>
      </fill>
    </dxf>
  </rfmt>
  <rfmt sheetId="9" sqref="Q95" start="0" length="0">
    <dxf>
      <fill>
        <patternFill patternType="none">
          <bgColor indexed="65"/>
        </patternFill>
      </fill>
    </dxf>
  </rfmt>
  <rfmt sheetId="9" sqref="R95" start="0" length="0">
    <dxf>
      <fill>
        <patternFill patternType="none">
          <bgColor indexed="65"/>
        </patternFill>
      </fill>
    </dxf>
  </rfmt>
  <rfmt sheetId="9" sqref="S95" start="0" length="0">
    <dxf>
      <fill>
        <patternFill patternType="none">
          <bgColor indexed="65"/>
        </patternFill>
      </fill>
    </dxf>
  </rfmt>
  <rfmt sheetId="9" sqref="T95" start="0" length="0">
    <dxf>
      <fill>
        <patternFill patternType="none">
          <bgColor indexed="65"/>
        </patternFill>
      </fill>
    </dxf>
  </rfmt>
  <rfmt sheetId="9" sqref="O96" start="0" length="0">
    <dxf>
      <numFmt numFmtId="0" formatCode="General"/>
      <fill>
        <patternFill patternType="none">
          <bgColor indexed="65"/>
        </patternFill>
      </fill>
    </dxf>
  </rfmt>
  <rcc rId="684" sId="9" odxf="1" dxf="1">
    <oc r="P96">
      <f>N95+N96-Bilans!C58-Bilans!C60</f>
    </oc>
    <nc r="P96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96" start="0" length="0">
    <dxf>
      <fill>
        <patternFill patternType="none">
          <bgColor indexed="65"/>
        </patternFill>
      </fill>
    </dxf>
  </rfmt>
  <rfmt sheetId="9" sqref="R96" start="0" length="0">
    <dxf>
      <fill>
        <patternFill patternType="none">
          <bgColor indexed="65"/>
        </patternFill>
      </fill>
    </dxf>
  </rfmt>
  <rfmt sheetId="9" sqref="S96" start="0" length="0">
    <dxf>
      <fill>
        <patternFill patternType="none">
          <bgColor indexed="65"/>
        </patternFill>
      </fill>
    </dxf>
  </rfmt>
  <rfmt sheetId="9" sqref="T96" start="0" length="0">
    <dxf>
      <fill>
        <patternFill patternType="none">
          <bgColor indexed="65"/>
        </patternFill>
      </fill>
    </dxf>
  </rfmt>
  <rfmt sheetId="9" sqref="O97" start="0" length="0">
    <dxf>
      <numFmt numFmtId="0" formatCode="General"/>
      <fill>
        <patternFill patternType="none">
          <bgColor indexed="65"/>
        </patternFill>
      </fill>
    </dxf>
  </rfmt>
  <rcc rId="685" sId="9" odxf="1" dxf="1">
    <oc r="P97">
      <f>N97</f>
    </oc>
    <nc r="P97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97" start="0" length="0">
    <dxf>
      <fill>
        <patternFill patternType="none">
          <bgColor indexed="65"/>
        </patternFill>
      </fill>
    </dxf>
  </rfmt>
  <rfmt sheetId="9" sqref="R97" start="0" length="0">
    <dxf>
      <fill>
        <patternFill patternType="none">
          <bgColor indexed="65"/>
        </patternFill>
      </fill>
    </dxf>
  </rfmt>
  <rfmt sheetId="9" sqref="S97" start="0" length="0">
    <dxf>
      <fill>
        <patternFill patternType="none">
          <bgColor indexed="65"/>
        </patternFill>
      </fill>
    </dxf>
  </rfmt>
  <rfmt sheetId="9" sqref="T97" start="0" length="0">
    <dxf>
      <fill>
        <patternFill patternType="none">
          <bgColor indexed="65"/>
        </patternFill>
      </fill>
    </dxf>
  </rfmt>
  <rfmt sheetId="9" sqref="O98" start="0" length="0">
    <dxf>
      <numFmt numFmtId="0" formatCode="General"/>
      <fill>
        <patternFill patternType="none">
          <bgColor indexed="65"/>
        </patternFill>
      </fill>
    </dxf>
  </rfmt>
  <rcc rId="686" sId="9" odxf="1" dxf="1">
    <oc r="P98">
      <f>N98-Bilans!C61</f>
    </oc>
    <nc r="P98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98" start="0" length="0">
    <dxf>
      <fill>
        <patternFill patternType="none">
          <bgColor indexed="65"/>
        </patternFill>
      </fill>
    </dxf>
  </rfmt>
  <rfmt sheetId="9" sqref="R98" start="0" length="0">
    <dxf>
      <fill>
        <patternFill patternType="none">
          <bgColor indexed="65"/>
        </patternFill>
      </fill>
    </dxf>
  </rfmt>
  <rfmt sheetId="9" sqref="S98" start="0" length="0">
    <dxf>
      <fill>
        <patternFill patternType="none">
          <bgColor indexed="65"/>
        </patternFill>
      </fill>
    </dxf>
  </rfmt>
  <rfmt sheetId="9" sqref="T98" start="0" length="0">
    <dxf>
      <fill>
        <patternFill patternType="none">
          <bgColor indexed="65"/>
        </patternFill>
      </fill>
    </dxf>
  </rfmt>
  <rfmt sheetId="9" sqref="O99" start="0" length="0">
    <dxf>
      <numFmt numFmtId="0" formatCode="General"/>
      <fill>
        <patternFill patternType="none">
          <bgColor indexed="65"/>
        </patternFill>
      </fill>
    </dxf>
  </rfmt>
  <rfmt sheetId="9" sqref="P99" start="0" length="0">
    <dxf>
      <fill>
        <patternFill patternType="none">
          <bgColor indexed="65"/>
        </patternFill>
      </fill>
    </dxf>
  </rfmt>
  <rfmt sheetId="9" sqref="Q99" start="0" length="0">
    <dxf>
      <fill>
        <patternFill patternType="none">
          <bgColor indexed="65"/>
        </patternFill>
      </fill>
    </dxf>
  </rfmt>
  <rfmt sheetId="9" sqref="R99" start="0" length="0">
    <dxf>
      <fill>
        <patternFill patternType="none">
          <bgColor indexed="65"/>
        </patternFill>
      </fill>
    </dxf>
  </rfmt>
  <rfmt sheetId="9" sqref="S99" start="0" length="0">
    <dxf>
      <fill>
        <patternFill patternType="none">
          <bgColor indexed="65"/>
        </patternFill>
      </fill>
    </dxf>
  </rfmt>
  <rfmt sheetId="9" sqref="T99" start="0" length="0">
    <dxf>
      <fill>
        <patternFill patternType="none">
          <bgColor indexed="65"/>
        </patternFill>
      </fill>
    </dxf>
  </rfmt>
  <rfmt sheetId="9" sqref="O100" start="0" length="0">
    <dxf>
      <numFmt numFmtId="0" formatCode="General"/>
      <fill>
        <patternFill patternType="none">
          <bgColor indexed="65"/>
        </patternFill>
      </fill>
    </dxf>
  </rfmt>
  <rcc rId="687" sId="9" odxf="1" dxf="1">
    <oc r="P100">
      <f>N100-Bilans!C63</f>
    </oc>
    <nc r="P100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00" start="0" length="0">
    <dxf>
      <fill>
        <patternFill patternType="none">
          <bgColor indexed="65"/>
        </patternFill>
      </fill>
    </dxf>
  </rfmt>
  <rfmt sheetId="9" sqref="R100" start="0" length="0">
    <dxf>
      <fill>
        <patternFill patternType="none">
          <bgColor indexed="65"/>
        </patternFill>
      </fill>
    </dxf>
  </rfmt>
  <rfmt sheetId="9" sqref="S100" start="0" length="0">
    <dxf>
      <fill>
        <patternFill patternType="none">
          <bgColor indexed="65"/>
        </patternFill>
      </fill>
    </dxf>
  </rfmt>
  <rfmt sheetId="9" sqref="T100" start="0" length="0">
    <dxf>
      <fill>
        <patternFill patternType="none">
          <bgColor indexed="65"/>
        </patternFill>
      </fill>
    </dxf>
  </rfmt>
  <rfmt sheetId="9" sqref="O101" start="0" length="0">
    <dxf>
      <numFmt numFmtId="0" formatCode="General"/>
      <fill>
        <patternFill patternType="none">
          <bgColor indexed="65"/>
        </patternFill>
      </fill>
    </dxf>
  </rfmt>
  <rfmt sheetId="9" sqref="P101" start="0" length="0">
    <dxf>
      <fill>
        <patternFill patternType="none">
          <bgColor indexed="65"/>
        </patternFill>
      </fill>
    </dxf>
  </rfmt>
  <rfmt sheetId="9" sqref="Q101" start="0" length="0">
    <dxf>
      <fill>
        <patternFill patternType="none">
          <bgColor indexed="65"/>
        </patternFill>
      </fill>
    </dxf>
  </rfmt>
  <rfmt sheetId="9" sqref="R101" start="0" length="0">
    <dxf>
      <fill>
        <patternFill patternType="none">
          <bgColor indexed="65"/>
        </patternFill>
      </fill>
    </dxf>
  </rfmt>
  <rfmt sheetId="9" sqref="S101" start="0" length="0">
    <dxf>
      <fill>
        <patternFill patternType="none">
          <bgColor indexed="65"/>
        </patternFill>
      </fill>
    </dxf>
  </rfmt>
  <rfmt sheetId="9" sqref="T101" start="0" length="0">
    <dxf>
      <fill>
        <patternFill patternType="none">
          <bgColor indexed="65"/>
        </patternFill>
      </fill>
    </dxf>
  </rfmt>
  <rfmt sheetId="9" sqref="O102" start="0" length="0">
    <dxf>
      <numFmt numFmtId="0" formatCode="General"/>
      <fill>
        <patternFill patternType="none">
          <bgColor indexed="65"/>
        </patternFill>
      </fill>
    </dxf>
  </rfmt>
  <rcc rId="688" sId="9" odxf="1" dxf="1">
    <oc r="P102">
      <f>N102-Bilans!C65</f>
    </oc>
    <nc r="P102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02" start="0" length="0">
    <dxf>
      <fill>
        <patternFill patternType="none">
          <bgColor indexed="65"/>
        </patternFill>
      </fill>
    </dxf>
  </rfmt>
  <rfmt sheetId="9" sqref="R102" start="0" length="0">
    <dxf>
      <fill>
        <patternFill patternType="none">
          <bgColor indexed="65"/>
        </patternFill>
      </fill>
    </dxf>
  </rfmt>
  <rfmt sheetId="9" sqref="S102" start="0" length="0">
    <dxf>
      <fill>
        <patternFill patternType="none">
          <bgColor indexed="65"/>
        </patternFill>
      </fill>
    </dxf>
  </rfmt>
  <rfmt sheetId="9" sqref="T102" start="0" length="0">
    <dxf>
      <fill>
        <patternFill patternType="none">
          <bgColor indexed="65"/>
        </patternFill>
      </fill>
    </dxf>
  </rfmt>
  <rfmt sheetId="9" sqref="O103" start="0" length="0">
    <dxf>
      <fill>
        <patternFill patternType="none">
          <bgColor indexed="65"/>
        </patternFill>
      </fill>
    </dxf>
  </rfmt>
  <rfmt sheetId="9" sqref="P103" start="0" length="0">
    <dxf>
      <fill>
        <patternFill patternType="none">
          <bgColor indexed="65"/>
        </patternFill>
      </fill>
    </dxf>
  </rfmt>
  <rfmt sheetId="9" sqref="Q103" start="0" length="0">
    <dxf>
      <fill>
        <patternFill patternType="none">
          <bgColor indexed="65"/>
        </patternFill>
      </fill>
    </dxf>
  </rfmt>
  <rfmt sheetId="9" sqref="R103" start="0" length="0">
    <dxf>
      <fill>
        <patternFill patternType="none">
          <bgColor indexed="65"/>
        </patternFill>
      </fill>
    </dxf>
  </rfmt>
  <rfmt sheetId="9" sqref="S103" start="0" length="0">
    <dxf>
      <fill>
        <patternFill patternType="none">
          <bgColor indexed="65"/>
        </patternFill>
      </fill>
    </dxf>
  </rfmt>
  <rfmt sheetId="9" sqref="T103" start="0" length="0">
    <dxf>
      <fill>
        <patternFill patternType="none">
          <bgColor indexed="65"/>
        </patternFill>
      </fill>
    </dxf>
  </rfmt>
  <rfmt sheetId="9" sqref="O104" start="0" length="0">
    <dxf>
      <fill>
        <patternFill patternType="none">
          <bgColor indexed="65"/>
        </patternFill>
      </fill>
    </dxf>
  </rfmt>
  <rfmt sheetId="9" sqref="P104" start="0" length="0">
    <dxf>
      <fill>
        <patternFill patternType="none">
          <bgColor indexed="65"/>
        </patternFill>
      </fill>
    </dxf>
  </rfmt>
  <rfmt sheetId="9" sqref="Q104" start="0" length="0">
    <dxf>
      <fill>
        <patternFill patternType="none">
          <bgColor indexed="65"/>
        </patternFill>
      </fill>
    </dxf>
  </rfmt>
  <rfmt sheetId="9" sqref="R104" start="0" length="0">
    <dxf>
      <fill>
        <patternFill patternType="none">
          <bgColor indexed="65"/>
        </patternFill>
      </fill>
    </dxf>
  </rfmt>
  <rfmt sheetId="9" sqref="S104" start="0" length="0">
    <dxf>
      <fill>
        <patternFill patternType="none">
          <bgColor indexed="65"/>
        </patternFill>
      </fill>
    </dxf>
  </rfmt>
  <rfmt sheetId="9" sqref="T104" start="0" length="0">
    <dxf>
      <fill>
        <patternFill patternType="none">
          <bgColor indexed="65"/>
        </patternFill>
      </fill>
    </dxf>
  </rfmt>
  <rfmt sheetId="9" sqref="O105" start="0" length="0">
    <dxf>
      <fill>
        <patternFill patternType="none">
          <bgColor indexed="65"/>
        </patternFill>
      </fill>
    </dxf>
  </rfmt>
  <rfmt sheetId="9" sqref="P105" start="0" length="0">
    <dxf>
      <fill>
        <patternFill patternType="none">
          <bgColor indexed="65"/>
        </patternFill>
      </fill>
    </dxf>
  </rfmt>
  <rfmt sheetId="9" sqref="Q105" start="0" length="0">
    <dxf>
      <fill>
        <patternFill patternType="none">
          <bgColor indexed="65"/>
        </patternFill>
      </fill>
    </dxf>
  </rfmt>
  <rfmt sheetId="9" sqref="R105" start="0" length="0">
    <dxf>
      <fill>
        <patternFill patternType="none">
          <bgColor indexed="65"/>
        </patternFill>
      </fill>
    </dxf>
  </rfmt>
  <rfmt sheetId="9" sqref="S105" start="0" length="0">
    <dxf>
      <fill>
        <patternFill patternType="none">
          <bgColor indexed="65"/>
        </patternFill>
      </fill>
    </dxf>
  </rfmt>
  <rfmt sheetId="9" sqref="T105" start="0" length="0">
    <dxf>
      <fill>
        <patternFill patternType="none">
          <bgColor indexed="65"/>
        </patternFill>
      </fill>
    </dxf>
  </rfmt>
  <rfmt sheetId="9" sqref="O106" start="0" length="0">
    <dxf>
      <fill>
        <patternFill patternType="none">
          <bgColor indexed="65"/>
        </patternFill>
      </fill>
    </dxf>
  </rfmt>
  <rfmt sheetId="9" sqref="P106" start="0" length="0">
    <dxf>
      <fill>
        <patternFill patternType="none">
          <bgColor indexed="65"/>
        </patternFill>
      </fill>
    </dxf>
  </rfmt>
  <rfmt sheetId="9" sqref="Q106" start="0" length="0">
    <dxf>
      <fill>
        <patternFill patternType="none">
          <bgColor indexed="65"/>
        </patternFill>
      </fill>
    </dxf>
  </rfmt>
  <rfmt sheetId="9" sqref="R106" start="0" length="0">
    <dxf>
      <fill>
        <patternFill patternType="none">
          <bgColor indexed="65"/>
        </patternFill>
      </fill>
    </dxf>
  </rfmt>
  <rfmt sheetId="9" sqref="S106" start="0" length="0">
    <dxf>
      <fill>
        <patternFill patternType="none">
          <bgColor indexed="65"/>
        </patternFill>
      </fill>
    </dxf>
  </rfmt>
  <rfmt sheetId="9" sqref="T106" start="0" length="0">
    <dxf>
      <fill>
        <patternFill patternType="none">
          <bgColor indexed="65"/>
        </patternFill>
      </fill>
    </dxf>
  </rfmt>
  <rcc rId="689" sId="9" odxf="1" dxf="1">
    <oc r="O107">
      <f>'Hist. dane kwartalne'!Z107+'Hist. dane kwartalne'!AA107</f>
    </oc>
    <nc r="O107"/>
    <ndxf>
      <numFmt numFmtId="0" formatCode="General"/>
      <fill>
        <patternFill patternType="none">
          <bgColor indexed="65"/>
        </patternFill>
      </fill>
    </ndxf>
  </rcc>
  <rcc rId="690" sId="9" odxf="1" dxf="1">
    <oc r="P107">
      <f>N107-'Rach. przepływów pieniężnych'!C4</f>
    </oc>
    <nc r="P107"/>
    <odxf>
      <numFmt numFmtId="3" formatCode="#,##0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07" start="0" length="0">
    <dxf>
      <fill>
        <patternFill patternType="none">
          <bgColor indexed="65"/>
        </patternFill>
      </fill>
    </dxf>
  </rfmt>
  <rfmt sheetId="9" sqref="R107" start="0" length="0">
    <dxf>
      <numFmt numFmtId="0" formatCode="General"/>
      <fill>
        <patternFill patternType="none">
          <bgColor indexed="65"/>
        </patternFill>
      </fill>
    </dxf>
  </rfmt>
  <rfmt sheetId="9" sqref="S107" start="0" length="0">
    <dxf>
      <fill>
        <patternFill patternType="none">
          <bgColor indexed="65"/>
        </patternFill>
      </fill>
    </dxf>
  </rfmt>
  <rfmt sheetId="9" sqref="T107" start="0" length="0">
    <dxf>
      <fill>
        <patternFill patternType="none">
          <bgColor indexed="65"/>
        </patternFill>
      </fill>
    </dxf>
  </rfmt>
  <rcc rId="691" sId="9" odxf="1" dxf="1">
    <oc r="O108">
      <f>'Hist. dane kwartalne'!Z108+'Hist. dane kwartalne'!AA108</f>
    </oc>
    <nc r="O108"/>
    <ndxf>
      <numFmt numFmtId="0" formatCode="General"/>
      <fill>
        <patternFill patternType="none">
          <bgColor indexed="65"/>
        </patternFill>
      </fill>
    </ndxf>
  </rcc>
  <rfmt sheetId="9" sqref="P108" start="0" length="0">
    <dxf>
      <fill>
        <patternFill patternType="none">
          <bgColor indexed="65"/>
        </patternFill>
      </fill>
    </dxf>
  </rfmt>
  <rfmt sheetId="9" sqref="Q108" start="0" length="0">
    <dxf>
      <fill>
        <patternFill patternType="none">
          <bgColor indexed="65"/>
        </patternFill>
      </fill>
    </dxf>
  </rfmt>
  <rfmt sheetId="9" sqref="R108" start="0" length="0">
    <dxf>
      <numFmt numFmtId="0" formatCode="General"/>
      <fill>
        <patternFill patternType="none">
          <bgColor indexed="65"/>
        </patternFill>
      </fill>
    </dxf>
  </rfmt>
  <rfmt sheetId="9" sqref="S108" start="0" length="0">
    <dxf>
      <fill>
        <patternFill patternType="none">
          <bgColor indexed="65"/>
        </patternFill>
      </fill>
    </dxf>
  </rfmt>
  <rfmt sheetId="9" sqref="T108" start="0" length="0">
    <dxf>
      <fill>
        <patternFill patternType="none">
          <bgColor indexed="65"/>
        </patternFill>
      </fill>
    </dxf>
  </rfmt>
  <rcc rId="692" sId="9" odxf="1" dxf="1">
    <oc r="O109">
      <f>'Hist. dane kwartalne'!Z109+'Hist. dane kwartalne'!AA109</f>
    </oc>
    <nc r="O109"/>
    <ndxf>
      <numFmt numFmtId="0" formatCode="General"/>
      <fill>
        <patternFill patternType="none">
          <bgColor indexed="65"/>
        </patternFill>
      </fill>
    </ndxf>
  </rcc>
  <rcc rId="693" sId="9" odxf="1" dxf="1">
    <oc r="P109">
      <f>N109-'Rach. przepływów pieniężnych'!C5</f>
    </oc>
    <nc r="P109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09" start="0" length="0">
    <dxf>
      <fill>
        <patternFill patternType="none">
          <bgColor indexed="65"/>
        </patternFill>
      </fill>
    </dxf>
  </rfmt>
  <rfmt sheetId="9" sqref="R109" start="0" length="0">
    <dxf>
      <numFmt numFmtId="0" formatCode="General"/>
      <fill>
        <patternFill patternType="none">
          <bgColor indexed="65"/>
        </patternFill>
      </fill>
    </dxf>
  </rfmt>
  <rfmt sheetId="9" sqref="S109" start="0" length="0">
    <dxf>
      <fill>
        <patternFill patternType="none">
          <bgColor indexed="65"/>
        </patternFill>
      </fill>
    </dxf>
  </rfmt>
  <rfmt sheetId="9" sqref="T109" start="0" length="0">
    <dxf>
      <fill>
        <patternFill patternType="none">
          <bgColor indexed="65"/>
        </patternFill>
      </fill>
    </dxf>
  </rfmt>
  <rcc rId="694" sId="9" odxf="1" dxf="1">
    <oc r="O110">
      <f>'Hist. dane kwartalne'!Z110+'Hist. dane kwartalne'!AA110</f>
    </oc>
    <nc r="O110"/>
    <ndxf>
      <numFmt numFmtId="0" formatCode="General"/>
      <fill>
        <patternFill patternType="none">
          <bgColor indexed="65"/>
        </patternFill>
      </fill>
    </ndxf>
  </rcc>
  <rcc rId="695" sId="9" odxf="1" dxf="1">
    <oc r="P110">
      <f>N110-'Rach. przepływów pieniężnych'!C6</f>
    </oc>
    <nc r="P110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10" start="0" length="0">
    <dxf>
      <fill>
        <patternFill patternType="none">
          <bgColor indexed="65"/>
        </patternFill>
      </fill>
    </dxf>
  </rfmt>
  <rfmt sheetId="9" sqref="R110" start="0" length="0">
    <dxf>
      <numFmt numFmtId="0" formatCode="General"/>
      <fill>
        <patternFill patternType="none">
          <bgColor indexed="65"/>
        </patternFill>
      </fill>
    </dxf>
  </rfmt>
  <rfmt sheetId="9" sqref="S110" start="0" length="0">
    <dxf>
      <fill>
        <patternFill patternType="none">
          <bgColor indexed="65"/>
        </patternFill>
      </fill>
    </dxf>
  </rfmt>
  <rfmt sheetId="9" sqref="T110" start="0" length="0">
    <dxf>
      <fill>
        <patternFill patternType="none">
          <bgColor indexed="65"/>
        </patternFill>
      </fill>
    </dxf>
  </rfmt>
  <rcc rId="696" sId="9" odxf="1" dxf="1">
    <oc r="O111">
      <f>'Hist. dane kwartalne'!Z111+'Hist. dane kwartalne'!AA111</f>
    </oc>
    <nc r="O111"/>
    <ndxf>
      <numFmt numFmtId="0" formatCode="General"/>
      <fill>
        <patternFill patternType="none">
          <bgColor indexed="65"/>
        </patternFill>
      </fill>
    </ndxf>
  </rcc>
  <rfmt sheetId="9" sqref="P111" start="0" length="0">
    <dxf>
      <numFmt numFmtId="0" formatCode="General"/>
      <fill>
        <patternFill patternType="none">
          <bgColor indexed="65"/>
        </patternFill>
      </fill>
    </dxf>
  </rfmt>
  <rfmt sheetId="9" sqref="Q111" start="0" length="0">
    <dxf>
      <fill>
        <patternFill patternType="none">
          <bgColor indexed="65"/>
        </patternFill>
      </fill>
    </dxf>
  </rfmt>
  <rfmt sheetId="9" sqref="R111" start="0" length="0">
    <dxf>
      <numFmt numFmtId="0" formatCode="General"/>
      <fill>
        <patternFill patternType="none">
          <bgColor indexed="65"/>
        </patternFill>
      </fill>
    </dxf>
  </rfmt>
  <rfmt sheetId="9" sqref="S111" start="0" length="0">
    <dxf>
      <fill>
        <patternFill patternType="none">
          <bgColor indexed="65"/>
        </patternFill>
      </fill>
    </dxf>
  </rfmt>
  <rfmt sheetId="9" sqref="T111" start="0" length="0">
    <dxf>
      <fill>
        <patternFill patternType="none">
          <bgColor indexed="65"/>
        </patternFill>
      </fill>
    </dxf>
  </rfmt>
  <rcc rId="697" sId="9" odxf="1" dxf="1">
    <oc r="O112">
      <f>'Hist. dane kwartalne'!Z112+'Hist. dane kwartalne'!AA112</f>
    </oc>
    <nc r="O112"/>
    <ndxf>
      <numFmt numFmtId="0" formatCode="General"/>
      <fill>
        <patternFill patternType="none">
          <bgColor indexed="65"/>
        </patternFill>
      </fill>
    </ndxf>
  </rcc>
  <rcc rId="698" sId="9" odxf="1" dxf="1">
    <oc r="P112">
      <f>N112-'Rach. przepływów pieniężnych'!C8</f>
    </oc>
    <nc r="P112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12" start="0" length="0">
    <dxf>
      <fill>
        <patternFill patternType="none">
          <bgColor indexed="65"/>
        </patternFill>
      </fill>
    </dxf>
  </rfmt>
  <rfmt sheetId="9" sqref="R112" start="0" length="0">
    <dxf>
      <numFmt numFmtId="0" formatCode="General"/>
      <fill>
        <patternFill patternType="none">
          <bgColor indexed="65"/>
        </patternFill>
      </fill>
    </dxf>
  </rfmt>
  <rfmt sheetId="9" sqref="S112" start="0" length="0">
    <dxf>
      <fill>
        <patternFill patternType="none">
          <bgColor indexed="65"/>
        </patternFill>
      </fill>
    </dxf>
  </rfmt>
  <rfmt sheetId="9" sqref="T112" start="0" length="0">
    <dxf>
      <fill>
        <patternFill patternType="none">
          <bgColor indexed="65"/>
        </patternFill>
      </fill>
    </dxf>
  </rfmt>
  <rcc rId="699" sId="9" odxf="1" dxf="1">
    <oc r="O113">
      <f>'Hist. dane kwartalne'!Z113+'Hist. dane kwartalne'!AA113</f>
    </oc>
    <nc r="O113"/>
    <ndxf>
      <numFmt numFmtId="0" formatCode="General"/>
      <fill>
        <patternFill patternType="none">
          <bgColor indexed="65"/>
        </patternFill>
      </fill>
    </ndxf>
  </rcc>
  <rfmt sheetId="9" sqref="P113" start="0" length="0">
    <dxf>
      <numFmt numFmtId="0" formatCode="General"/>
      <fill>
        <patternFill patternType="none">
          <bgColor indexed="65"/>
        </patternFill>
      </fill>
    </dxf>
  </rfmt>
  <rfmt sheetId="9" sqref="Q113" start="0" length="0">
    <dxf>
      <fill>
        <patternFill patternType="none">
          <bgColor indexed="65"/>
        </patternFill>
      </fill>
    </dxf>
  </rfmt>
  <rfmt sheetId="9" sqref="R113" start="0" length="0">
    <dxf>
      <numFmt numFmtId="0" formatCode="General"/>
      <fill>
        <patternFill patternType="none">
          <bgColor indexed="65"/>
        </patternFill>
      </fill>
    </dxf>
  </rfmt>
  <rfmt sheetId="9" sqref="S113" start="0" length="0">
    <dxf>
      <fill>
        <patternFill patternType="none">
          <bgColor indexed="65"/>
        </patternFill>
      </fill>
    </dxf>
  </rfmt>
  <rfmt sheetId="9" sqref="T113" start="0" length="0">
    <dxf>
      <fill>
        <patternFill patternType="none">
          <bgColor indexed="65"/>
        </patternFill>
      </fill>
    </dxf>
  </rfmt>
  <rcc rId="700" sId="9" odxf="1" dxf="1">
    <oc r="O114">
      <f>'Hist. dane kwartalne'!Z114+'Hist. dane kwartalne'!AA114</f>
    </oc>
    <nc r="O114"/>
    <ndxf>
      <numFmt numFmtId="0" formatCode="General"/>
      <fill>
        <patternFill patternType="none">
          <bgColor indexed="65"/>
        </patternFill>
      </fill>
    </ndxf>
  </rcc>
  <rfmt sheetId="9" sqref="P114" start="0" length="0">
    <dxf>
      <numFmt numFmtId="0" formatCode="General"/>
      <fill>
        <patternFill patternType="none">
          <bgColor indexed="65"/>
        </patternFill>
      </fill>
    </dxf>
  </rfmt>
  <rfmt sheetId="9" sqref="Q114" start="0" length="0">
    <dxf>
      <fill>
        <patternFill patternType="none">
          <bgColor indexed="65"/>
        </patternFill>
      </fill>
    </dxf>
  </rfmt>
  <rfmt sheetId="9" sqref="R114" start="0" length="0">
    <dxf>
      <numFmt numFmtId="0" formatCode="General"/>
      <fill>
        <patternFill patternType="none">
          <bgColor indexed="65"/>
        </patternFill>
      </fill>
    </dxf>
  </rfmt>
  <rfmt sheetId="9" sqref="S114" start="0" length="0">
    <dxf>
      <fill>
        <patternFill patternType="none">
          <bgColor indexed="65"/>
        </patternFill>
      </fill>
    </dxf>
  </rfmt>
  <rfmt sheetId="9" sqref="T114" start="0" length="0">
    <dxf>
      <fill>
        <patternFill patternType="none">
          <bgColor indexed="65"/>
        </patternFill>
      </fill>
    </dxf>
  </rfmt>
  <rcc rId="701" sId="9" odxf="1" dxf="1">
    <oc r="O115">
      <f>'Hist. dane kwartalne'!Z115+'Hist. dane kwartalne'!AA115</f>
    </oc>
    <nc r="O115"/>
    <ndxf>
      <numFmt numFmtId="0" formatCode="General"/>
      <fill>
        <patternFill patternType="none">
          <bgColor indexed="65"/>
        </patternFill>
      </fill>
    </ndxf>
  </rcc>
  <rfmt sheetId="9" sqref="P115" start="0" length="0">
    <dxf>
      <numFmt numFmtId="0" formatCode="General"/>
      <fill>
        <patternFill patternType="none">
          <bgColor indexed="65"/>
        </patternFill>
      </fill>
    </dxf>
  </rfmt>
  <rfmt sheetId="9" sqref="Q115" start="0" length="0">
    <dxf>
      <fill>
        <patternFill patternType="none">
          <bgColor indexed="65"/>
        </patternFill>
      </fill>
    </dxf>
  </rfmt>
  <rfmt sheetId="9" sqref="R115" start="0" length="0">
    <dxf>
      <numFmt numFmtId="0" formatCode="General"/>
      <fill>
        <patternFill patternType="none">
          <bgColor indexed="65"/>
        </patternFill>
      </fill>
    </dxf>
  </rfmt>
  <rfmt sheetId="9" sqref="S115" start="0" length="0">
    <dxf>
      <fill>
        <patternFill patternType="none">
          <bgColor indexed="65"/>
        </patternFill>
      </fill>
    </dxf>
  </rfmt>
  <rfmt sheetId="9" sqref="T115" start="0" length="0">
    <dxf>
      <fill>
        <patternFill patternType="none">
          <bgColor indexed="65"/>
        </patternFill>
      </fill>
    </dxf>
  </rfmt>
  <rcc rId="702" sId="9" odxf="1" dxf="1">
    <oc r="O116">
      <f>'Hist. dane kwartalne'!Z116+'Hist. dane kwartalne'!AA116</f>
    </oc>
    <nc r="O116"/>
    <ndxf>
      <numFmt numFmtId="0" formatCode="General"/>
      <fill>
        <patternFill patternType="none">
          <bgColor indexed="65"/>
        </patternFill>
      </fill>
    </ndxf>
  </rcc>
  <rfmt sheetId="9" sqref="P116" start="0" length="0">
    <dxf>
      <numFmt numFmtId="0" formatCode="General"/>
      <fill>
        <patternFill patternType="none">
          <bgColor indexed="65"/>
        </patternFill>
      </fill>
    </dxf>
  </rfmt>
  <rfmt sheetId="9" sqref="Q116" start="0" length="0">
    <dxf>
      <fill>
        <patternFill patternType="none">
          <bgColor indexed="65"/>
        </patternFill>
      </fill>
    </dxf>
  </rfmt>
  <rfmt sheetId="9" sqref="R116" start="0" length="0">
    <dxf>
      <numFmt numFmtId="0" formatCode="General"/>
      <fill>
        <patternFill patternType="none">
          <bgColor indexed="65"/>
        </patternFill>
      </fill>
    </dxf>
  </rfmt>
  <rfmt sheetId="9" sqref="S116" start="0" length="0">
    <dxf>
      <fill>
        <patternFill patternType="none">
          <bgColor indexed="65"/>
        </patternFill>
      </fill>
    </dxf>
  </rfmt>
  <rfmt sheetId="9" sqref="T116" start="0" length="0">
    <dxf>
      <fill>
        <patternFill patternType="none">
          <bgColor indexed="65"/>
        </patternFill>
      </fill>
    </dxf>
  </rfmt>
  <rcc rId="703" sId="9" odxf="1" dxf="1">
    <oc r="O117">
      <f>'Hist. dane kwartalne'!Z117+'Hist. dane kwartalne'!AA117</f>
    </oc>
    <nc r="O117"/>
    <ndxf>
      <numFmt numFmtId="0" formatCode="General"/>
      <fill>
        <patternFill patternType="none">
          <bgColor indexed="65"/>
        </patternFill>
      </fill>
    </ndxf>
  </rcc>
  <rfmt sheetId="9" sqref="P117" start="0" length="0">
    <dxf>
      <numFmt numFmtId="0" formatCode="General"/>
      <fill>
        <patternFill patternType="none">
          <bgColor indexed="65"/>
        </patternFill>
      </fill>
    </dxf>
  </rfmt>
  <rfmt sheetId="9" sqref="Q117" start="0" length="0">
    <dxf>
      <fill>
        <patternFill patternType="none">
          <bgColor indexed="65"/>
        </patternFill>
      </fill>
    </dxf>
  </rfmt>
  <rfmt sheetId="9" sqref="R117" start="0" length="0">
    <dxf>
      <numFmt numFmtId="0" formatCode="General"/>
      <fill>
        <patternFill patternType="none">
          <bgColor indexed="65"/>
        </patternFill>
      </fill>
    </dxf>
  </rfmt>
  <rfmt sheetId="9" sqref="S117" start="0" length="0">
    <dxf>
      <fill>
        <patternFill patternType="none">
          <bgColor indexed="65"/>
        </patternFill>
      </fill>
    </dxf>
  </rfmt>
  <rfmt sheetId="9" sqref="T117" start="0" length="0">
    <dxf>
      <fill>
        <patternFill patternType="none">
          <bgColor indexed="65"/>
        </patternFill>
      </fill>
    </dxf>
  </rfmt>
  <rcc rId="704" sId="9" odxf="1" dxf="1">
    <oc r="O118">
      <f>'Hist. dane kwartalne'!Z118+'Hist. dane kwartalne'!AA118</f>
    </oc>
    <nc r="O118"/>
    <ndxf>
      <numFmt numFmtId="0" formatCode="General"/>
      <fill>
        <patternFill patternType="none">
          <bgColor indexed="65"/>
        </patternFill>
      </fill>
    </ndxf>
  </rcc>
  <rfmt sheetId="9" sqref="P118" start="0" length="0">
    <dxf>
      <numFmt numFmtId="0" formatCode="General"/>
      <fill>
        <patternFill patternType="none">
          <bgColor indexed="65"/>
        </patternFill>
      </fill>
    </dxf>
  </rfmt>
  <rfmt sheetId="9" sqref="Q118" start="0" length="0">
    <dxf>
      <fill>
        <patternFill patternType="none">
          <bgColor indexed="65"/>
        </patternFill>
      </fill>
    </dxf>
  </rfmt>
  <rfmt sheetId="9" sqref="R118" start="0" length="0">
    <dxf>
      <numFmt numFmtId="0" formatCode="General"/>
      <fill>
        <patternFill patternType="none">
          <bgColor indexed="65"/>
        </patternFill>
      </fill>
    </dxf>
  </rfmt>
  <rfmt sheetId="9" sqref="S118" start="0" length="0">
    <dxf>
      <fill>
        <patternFill patternType="none">
          <bgColor indexed="65"/>
        </patternFill>
      </fill>
    </dxf>
  </rfmt>
  <rfmt sheetId="9" sqref="T118" start="0" length="0">
    <dxf>
      <fill>
        <patternFill patternType="none">
          <bgColor indexed="65"/>
        </patternFill>
      </fill>
    </dxf>
  </rfmt>
  <rcc rId="705" sId="9" odxf="1" dxf="1">
    <oc r="O119">
      <f>'Hist. dane kwartalne'!Z119+'Hist. dane kwartalne'!AA119</f>
    </oc>
    <nc r="O119"/>
    <ndxf>
      <numFmt numFmtId="0" formatCode="General"/>
      <fill>
        <patternFill patternType="none">
          <bgColor indexed="65"/>
        </patternFill>
      </fill>
    </ndxf>
  </rcc>
  <rcc rId="706" sId="9" odxf="1" dxf="1">
    <oc r="P119">
      <f>N114+N115+N116+N117+N118+N119-'Rach. przepływów pieniężnych'!C10</f>
    </oc>
    <nc r="P119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19" start="0" length="0">
    <dxf>
      <fill>
        <patternFill patternType="none">
          <bgColor indexed="65"/>
        </patternFill>
      </fill>
    </dxf>
  </rfmt>
  <rfmt sheetId="9" sqref="R119" start="0" length="0">
    <dxf>
      <numFmt numFmtId="0" formatCode="General"/>
      <fill>
        <patternFill patternType="none">
          <bgColor indexed="65"/>
        </patternFill>
      </fill>
    </dxf>
  </rfmt>
  <rfmt sheetId="9" sqref="S119" start="0" length="0">
    <dxf>
      <fill>
        <patternFill patternType="none">
          <bgColor indexed="65"/>
        </patternFill>
      </fill>
    </dxf>
  </rfmt>
  <rfmt sheetId="9" sqref="T119" start="0" length="0">
    <dxf>
      <fill>
        <patternFill patternType="none">
          <bgColor indexed="65"/>
        </patternFill>
      </fill>
    </dxf>
  </rfmt>
  <rcc rId="707" sId="9" odxf="1" dxf="1">
    <oc r="O120">
      <f>'Hist. dane kwartalne'!Z120+'Hist. dane kwartalne'!AA120</f>
    </oc>
    <nc r="O120"/>
    <ndxf>
      <numFmt numFmtId="0" formatCode="General"/>
      <fill>
        <patternFill patternType="none">
          <bgColor indexed="65"/>
        </patternFill>
      </fill>
    </ndxf>
  </rcc>
  <rcc rId="708" sId="9" odxf="1" dxf="1">
    <oc r="P120">
      <f>N120-'Rach. przepływów pieniężnych'!C11</f>
    </oc>
    <nc r="P120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20" start="0" length="0">
    <dxf>
      <fill>
        <patternFill patternType="none">
          <bgColor indexed="65"/>
        </patternFill>
      </fill>
    </dxf>
  </rfmt>
  <rfmt sheetId="9" sqref="R120" start="0" length="0">
    <dxf>
      <numFmt numFmtId="0" formatCode="General"/>
      <fill>
        <patternFill patternType="none">
          <bgColor indexed="65"/>
        </patternFill>
      </fill>
    </dxf>
  </rfmt>
  <rfmt sheetId="9" sqref="S120" start="0" length="0">
    <dxf>
      <fill>
        <patternFill patternType="none">
          <bgColor indexed="65"/>
        </patternFill>
      </fill>
    </dxf>
  </rfmt>
  <rfmt sheetId="9" sqref="T120" start="0" length="0">
    <dxf>
      <fill>
        <patternFill patternType="none">
          <bgColor indexed="65"/>
        </patternFill>
      </fill>
    </dxf>
  </rfmt>
  <rcc rId="709" sId="9" odxf="1" dxf="1">
    <oc r="O121">
      <f>'Hist. dane kwartalne'!Z121+'Hist. dane kwartalne'!AA121</f>
    </oc>
    <nc r="O121"/>
    <ndxf>
      <numFmt numFmtId="0" formatCode="General"/>
      <fill>
        <patternFill patternType="none">
          <bgColor indexed="65"/>
        </patternFill>
      </fill>
    </ndxf>
  </rcc>
  <rfmt sheetId="9" sqref="P121" start="0" length="0">
    <dxf>
      <numFmt numFmtId="0" formatCode="General"/>
      <fill>
        <patternFill patternType="none">
          <bgColor indexed="65"/>
        </patternFill>
      </fill>
    </dxf>
  </rfmt>
  <rcc rId="710" sId="9" odxf="1" dxf="1">
    <oc r="Q121">
      <f>N111+N113+N121-'Rach. przepływów pieniężnych'!C7-'Rach. przepływów pieniężnych'!C9</f>
    </oc>
    <nc r="Q121"/>
    <odxf>
      <numFmt numFmtId="171" formatCode="_-* #,##0&quot;   &quot;;[Red]\(#,##0\)&quot;  &quot;;&quot;-   &quot;"/>
      <fill>
        <patternFill patternType="solid">
          <bgColor rgb="FFFFFF0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R121" start="0" length="0">
    <dxf>
      <numFmt numFmtId="0" formatCode="General"/>
      <fill>
        <patternFill patternType="none">
          <bgColor indexed="65"/>
        </patternFill>
      </fill>
    </dxf>
  </rfmt>
  <rfmt sheetId="9" sqref="S121" start="0" length="0">
    <dxf>
      <fill>
        <patternFill patternType="none">
          <bgColor indexed="65"/>
        </patternFill>
      </fill>
    </dxf>
  </rfmt>
  <rfmt sheetId="9" sqref="T121" start="0" length="0">
    <dxf>
      <fill>
        <patternFill patternType="none">
          <bgColor indexed="65"/>
        </patternFill>
      </fill>
    </dxf>
  </rfmt>
  <rcc rId="711" sId="9" odxf="1" dxf="1">
    <oc r="O122">
      <f>'Hist. dane kwartalne'!Z122+'Hist. dane kwartalne'!AA122</f>
    </oc>
    <nc r="O122"/>
    <ndxf>
      <numFmt numFmtId="0" formatCode="General"/>
      <fill>
        <patternFill patternType="none">
          <bgColor indexed="65"/>
        </patternFill>
      </fill>
    </ndxf>
  </rcc>
  <rcc rId="712" sId="9" odxf="1" dxf="1">
    <oc r="P122">
      <f>N122-'Rach. przepływów pieniężnych'!C12</f>
    </oc>
    <nc r="P122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22" start="0" length="0">
    <dxf>
      <fill>
        <patternFill patternType="none">
          <bgColor indexed="65"/>
        </patternFill>
      </fill>
    </dxf>
  </rfmt>
  <rfmt sheetId="9" sqref="R122" start="0" length="0">
    <dxf>
      <numFmt numFmtId="0" formatCode="General"/>
      <fill>
        <patternFill patternType="none">
          <bgColor indexed="65"/>
        </patternFill>
      </fill>
    </dxf>
  </rfmt>
  <rfmt sheetId="9" sqref="S122" start="0" length="0">
    <dxf>
      <fill>
        <patternFill patternType="none">
          <bgColor indexed="65"/>
        </patternFill>
      </fill>
    </dxf>
  </rfmt>
  <rfmt sheetId="9" sqref="T122" start="0" length="0">
    <dxf>
      <fill>
        <patternFill patternType="none">
          <bgColor indexed="65"/>
        </patternFill>
      </fill>
    </dxf>
  </rfmt>
  <rcc rId="713" sId="9" odxf="1" dxf="1">
    <oc r="O123">
      <f>'Hist. dane kwartalne'!Z123+'Hist. dane kwartalne'!AA123</f>
    </oc>
    <nc r="O123"/>
    <ndxf>
      <numFmt numFmtId="0" formatCode="General"/>
      <fill>
        <patternFill patternType="none">
          <bgColor indexed="65"/>
        </patternFill>
      </fill>
    </ndxf>
  </rcc>
  <rfmt sheetId="9" sqref="P123" start="0" length="0">
    <dxf>
      <fill>
        <patternFill patternType="none">
          <bgColor indexed="65"/>
        </patternFill>
      </fill>
    </dxf>
  </rfmt>
  <rfmt sheetId="9" sqref="Q123" start="0" length="0">
    <dxf>
      <fill>
        <patternFill patternType="none">
          <bgColor indexed="65"/>
        </patternFill>
      </fill>
    </dxf>
  </rfmt>
  <rfmt sheetId="9" sqref="R123" start="0" length="0">
    <dxf>
      <numFmt numFmtId="0" formatCode="General"/>
      <fill>
        <patternFill patternType="none">
          <bgColor indexed="65"/>
        </patternFill>
      </fill>
    </dxf>
  </rfmt>
  <rfmt sheetId="9" sqref="S123" start="0" length="0">
    <dxf>
      <fill>
        <patternFill patternType="none">
          <bgColor indexed="65"/>
        </patternFill>
      </fill>
    </dxf>
  </rfmt>
  <rfmt sheetId="9" sqref="T123" start="0" length="0">
    <dxf>
      <fill>
        <patternFill patternType="none">
          <bgColor indexed="65"/>
        </patternFill>
      </fill>
    </dxf>
  </rfmt>
  <rcc rId="714" sId="9" odxf="1" dxf="1">
    <oc r="O124">
      <f>'Hist. dane kwartalne'!Z124+'Hist. dane kwartalne'!AA124</f>
    </oc>
    <nc r="O124"/>
    <ndxf>
      <numFmt numFmtId="0" formatCode="General"/>
      <fill>
        <patternFill patternType="none">
          <bgColor indexed="65"/>
        </patternFill>
      </fill>
    </ndxf>
  </rcc>
  <rcc rId="715" sId="9" odxf="1" dxf="1">
    <oc r="P124">
      <f>N124-'Rach. przepływów pieniężnych'!C19</f>
    </oc>
    <nc r="P124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24" start="0" length="0">
    <dxf>
      <fill>
        <patternFill patternType="none">
          <bgColor indexed="65"/>
        </patternFill>
      </fill>
    </dxf>
  </rfmt>
  <rfmt sheetId="9" sqref="R124" start="0" length="0">
    <dxf>
      <numFmt numFmtId="0" formatCode="General"/>
      <fill>
        <patternFill patternType="none">
          <bgColor indexed="65"/>
        </patternFill>
      </fill>
    </dxf>
  </rfmt>
  <rfmt sheetId="9" sqref="S124" start="0" length="0">
    <dxf>
      <fill>
        <patternFill patternType="none">
          <bgColor indexed="65"/>
        </patternFill>
      </fill>
    </dxf>
  </rfmt>
  <rfmt sheetId="9" sqref="T124" start="0" length="0">
    <dxf>
      <fill>
        <patternFill patternType="none">
          <bgColor indexed="65"/>
        </patternFill>
      </fill>
    </dxf>
  </rfmt>
  <rcc rId="716" sId="9" odxf="1" dxf="1">
    <oc r="O125">
      <f>'Hist. dane kwartalne'!Z125+'Hist. dane kwartalne'!AA125</f>
    </oc>
    <nc r="O125"/>
    <ndxf>
      <numFmt numFmtId="0" formatCode="General"/>
      <fill>
        <patternFill patternType="none">
          <bgColor indexed="65"/>
        </patternFill>
      </fill>
    </ndxf>
  </rcc>
  <rcc rId="717" sId="9" odxf="1" dxf="1">
    <oc r="P125">
      <f>N125-'Rach. przepływów pieniężnych'!C14</f>
    </oc>
    <nc r="P125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25" start="0" length="0">
    <dxf>
      <fill>
        <patternFill patternType="none">
          <bgColor indexed="65"/>
        </patternFill>
      </fill>
    </dxf>
  </rfmt>
  <rfmt sheetId="9" sqref="R125" start="0" length="0">
    <dxf>
      <numFmt numFmtId="0" formatCode="General"/>
      <fill>
        <patternFill patternType="none">
          <bgColor indexed="65"/>
        </patternFill>
      </fill>
    </dxf>
  </rfmt>
  <rfmt sheetId="9" sqref="S125" start="0" length="0">
    <dxf>
      <fill>
        <patternFill patternType="none">
          <bgColor indexed="65"/>
        </patternFill>
      </fill>
    </dxf>
  </rfmt>
  <rfmt sheetId="9" sqref="T125" start="0" length="0">
    <dxf>
      <fill>
        <patternFill patternType="none">
          <bgColor indexed="65"/>
        </patternFill>
      </fill>
    </dxf>
  </rfmt>
  <rcc rId="718" sId="9" odxf="1" dxf="1">
    <oc r="O126">
      <f>'Hist. dane kwartalne'!Z126+'Hist. dane kwartalne'!AA126</f>
    </oc>
    <nc r="O126"/>
    <ndxf>
      <numFmt numFmtId="0" formatCode="General"/>
      <fill>
        <patternFill patternType="none">
          <bgColor indexed="65"/>
        </patternFill>
      </fill>
    </ndxf>
  </rcc>
  <rcc rId="719" sId="9" odxf="1" dxf="1">
    <oc r="P126">
      <f>N126</f>
    </oc>
    <nc r="P126"/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9" sqref="Q126" start="0" length="0">
    <dxf>
      <fill>
        <patternFill patternType="none">
          <bgColor indexed="65"/>
        </patternFill>
      </fill>
    </dxf>
  </rfmt>
  <rfmt sheetId="9" sqref="R126" start="0" length="0">
    <dxf>
      <numFmt numFmtId="0" formatCode="General"/>
      <fill>
        <patternFill patternType="none">
          <bgColor indexed="65"/>
        </patternFill>
      </fill>
    </dxf>
  </rfmt>
  <rfmt sheetId="9" sqref="S126" start="0" length="0">
    <dxf>
      <fill>
        <patternFill patternType="none">
          <bgColor indexed="65"/>
        </patternFill>
      </fill>
    </dxf>
  </rfmt>
  <rfmt sheetId="9" sqref="T126" start="0" length="0">
    <dxf>
      <fill>
        <patternFill patternType="none">
          <bgColor indexed="65"/>
        </patternFill>
      </fill>
    </dxf>
  </rfmt>
  <rcc rId="720" sId="9" odxf="1" dxf="1">
    <oc r="O127">
      <f>'Hist. dane kwartalne'!Z127+'Hist. dane kwartalne'!AA127</f>
    </oc>
    <nc r="O127"/>
    <ndxf>
      <numFmt numFmtId="0" formatCode="General"/>
      <fill>
        <patternFill patternType="none">
          <bgColor indexed="65"/>
        </patternFill>
      </fill>
    </ndxf>
  </rcc>
  <rfmt sheetId="9" sqref="P127" start="0" length="0">
    <dxf>
      <fill>
        <patternFill patternType="none">
          <bgColor indexed="65"/>
        </patternFill>
      </fill>
    </dxf>
  </rfmt>
  <rfmt sheetId="9" sqref="Q127" start="0" length="0">
    <dxf>
      <fill>
        <patternFill patternType="none">
          <bgColor indexed="65"/>
        </patternFill>
      </fill>
    </dxf>
  </rfmt>
  <rfmt sheetId="9" sqref="R127" start="0" length="0">
    <dxf>
      <numFmt numFmtId="0" formatCode="General"/>
      <fill>
        <patternFill patternType="none">
          <bgColor indexed="65"/>
        </patternFill>
      </fill>
    </dxf>
  </rfmt>
  <rfmt sheetId="9" sqref="S127" start="0" length="0">
    <dxf>
      <fill>
        <patternFill patternType="none">
          <bgColor indexed="65"/>
        </patternFill>
      </fill>
    </dxf>
  </rfmt>
  <rfmt sheetId="9" sqref="T127" start="0" length="0">
    <dxf>
      <fill>
        <patternFill patternType="none">
          <bgColor indexed="65"/>
        </patternFill>
      </fill>
    </dxf>
  </rfmt>
  <rcc rId="721" sId="9" odxf="1" dxf="1">
    <oc r="O128">
      <f>'Hist. dane kwartalne'!Z128+'Hist. dane kwartalne'!AA128</f>
    </oc>
    <nc r="O128"/>
    <ndxf>
      <numFmt numFmtId="0" formatCode="General"/>
      <fill>
        <patternFill patternType="none">
          <bgColor indexed="65"/>
        </patternFill>
      </fill>
    </ndxf>
  </rcc>
  <rcc rId="722" sId="9" odxf="1" dxf="1">
    <oc r="P128">
      <f>N128</f>
    </oc>
    <nc r="P128"/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9" sqref="Q128" start="0" length="0">
    <dxf>
      <fill>
        <patternFill patternType="none">
          <bgColor indexed="65"/>
        </patternFill>
      </fill>
    </dxf>
  </rfmt>
  <rfmt sheetId="9" sqref="R128" start="0" length="0">
    <dxf>
      <numFmt numFmtId="0" formatCode="General"/>
      <fill>
        <patternFill patternType="none">
          <bgColor indexed="65"/>
        </patternFill>
      </fill>
    </dxf>
  </rfmt>
  <rfmt sheetId="9" sqref="S128" start="0" length="0">
    <dxf>
      <fill>
        <patternFill patternType="none">
          <bgColor indexed="65"/>
        </patternFill>
      </fill>
    </dxf>
  </rfmt>
  <rfmt sheetId="9" sqref="T128" start="0" length="0">
    <dxf>
      <fill>
        <patternFill patternType="none">
          <bgColor indexed="65"/>
        </patternFill>
      </fill>
    </dxf>
  </rfmt>
  <rcc rId="723" sId="9" odxf="1" dxf="1">
    <oc r="O129">
      <f>'Hist. dane kwartalne'!Z129+'Hist. dane kwartalne'!AA129</f>
    </oc>
    <nc r="O129"/>
    <ndxf>
      <numFmt numFmtId="0" formatCode="General"/>
      <fill>
        <patternFill patternType="none">
          <bgColor indexed="65"/>
        </patternFill>
      </fill>
    </ndxf>
  </rcc>
  <rcc rId="724" sId="9" odxf="1" dxf="1">
    <oc r="P129">
      <f>N129-'Rach. przepływów pieniężnych'!C16</f>
    </oc>
    <nc r="P129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29" start="0" length="0">
    <dxf>
      <fill>
        <patternFill patternType="none">
          <bgColor indexed="65"/>
        </patternFill>
      </fill>
    </dxf>
  </rfmt>
  <rfmt sheetId="9" sqref="R129" start="0" length="0">
    <dxf>
      <numFmt numFmtId="0" formatCode="General"/>
      <fill>
        <patternFill patternType="none">
          <bgColor indexed="65"/>
        </patternFill>
      </fill>
    </dxf>
  </rfmt>
  <rfmt sheetId="9" sqref="S129" start="0" length="0">
    <dxf>
      <fill>
        <patternFill patternType="none">
          <bgColor indexed="65"/>
        </patternFill>
      </fill>
    </dxf>
  </rfmt>
  <rfmt sheetId="9" sqref="T129" start="0" length="0">
    <dxf>
      <fill>
        <patternFill patternType="none">
          <bgColor indexed="65"/>
        </patternFill>
      </fill>
    </dxf>
  </rfmt>
  <rcc rId="725" sId="9" odxf="1" dxf="1">
    <oc r="O130">
      <f>'Hist. dane kwartalne'!Z130+'Hist. dane kwartalne'!AA130</f>
    </oc>
    <nc r="O130"/>
    <ndxf>
      <numFmt numFmtId="0" formatCode="General"/>
      <fill>
        <patternFill patternType="none">
          <bgColor indexed="65"/>
        </patternFill>
      </fill>
    </ndxf>
  </rcc>
  <rcc rId="726" sId="9" odxf="1" dxf="1">
    <oc r="P130">
      <f>N130</f>
    </oc>
    <nc r="P130"/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9" sqref="Q130" start="0" length="0">
    <dxf>
      <fill>
        <patternFill patternType="none">
          <bgColor indexed="65"/>
        </patternFill>
      </fill>
    </dxf>
  </rfmt>
  <rfmt sheetId="9" sqref="R130" start="0" length="0">
    <dxf>
      <numFmt numFmtId="0" formatCode="General"/>
      <fill>
        <patternFill patternType="none">
          <bgColor indexed="65"/>
        </patternFill>
      </fill>
    </dxf>
  </rfmt>
  <rfmt sheetId="9" sqref="S130" start="0" length="0">
    <dxf>
      <fill>
        <patternFill patternType="none">
          <bgColor indexed="65"/>
        </patternFill>
      </fill>
    </dxf>
  </rfmt>
  <rfmt sheetId="9" sqref="T130" start="0" length="0">
    <dxf>
      <fill>
        <patternFill patternType="none">
          <bgColor indexed="65"/>
        </patternFill>
      </fill>
    </dxf>
  </rfmt>
  <rcc rId="727" sId="9" odxf="1" dxf="1">
    <oc r="O131">
      <f>'Hist. dane kwartalne'!Z131+'Hist. dane kwartalne'!AA131</f>
    </oc>
    <nc r="O131"/>
    <ndxf>
      <numFmt numFmtId="0" formatCode="General"/>
      <fill>
        <patternFill patternType="none">
          <bgColor indexed="65"/>
        </patternFill>
      </fill>
    </ndxf>
  </rcc>
  <rcc rId="728" sId="9" odxf="1" dxf="1">
    <oc r="P131">
      <f>N131</f>
    </oc>
    <nc r="P131"/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9" sqref="Q131" start="0" length="0">
    <dxf>
      <fill>
        <patternFill patternType="none">
          <bgColor indexed="65"/>
        </patternFill>
      </fill>
    </dxf>
  </rfmt>
  <rfmt sheetId="9" sqref="R131" start="0" length="0">
    <dxf>
      <numFmt numFmtId="0" formatCode="General"/>
      <fill>
        <patternFill patternType="none">
          <bgColor indexed="65"/>
        </patternFill>
      </fill>
    </dxf>
  </rfmt>
  <rfmt sheetId="9" sqref="S131" start="0" length="0">
    <dxf>
      <fill>
        <patternFill patternType="none">
          <bgColor indexed="65"/>
        </patternFill>
      </fill>
    </dxf>
  </rfmt>
  <rfmt sheetId="9" sqref="T131" start="0" length="0">
    <dxf>
      <fill>
        <patternFill patternType="none">
          <bgColor indexed="65"/>
        </patternFill>
      </fill>
    </dxf>
  </rfmt>
  <rcc rId="729" sId="9" odxf="1" dxf="1">
    <oc r="O132">
      <f>'Hist. dane kwartalne'!Z132+'Hist. dane kwartalne'!AA132</f>
    </oc>
    <nc r="O132"/>
    <ndxf>
      <numFmt numFmtId="0" formatCode="General"/>
      <fill>
        <patternFill patternType="none">
          <bgColor indexed="65"/>
        </patternFill>
      </fill>
    </ndxf>
  </rcc>
  <rfmt sheetId="9" sqref="P132" start="0" length="0">
    <dxf>
      <fill>
        <patternFill patternType="none">
          <bgColor indexed="65"/>
        </patternFill>
      </fill>
    </dxf>
  </rfmt>
  <rfmt sheetId="9" sqref="Q132" start="0" length="0">
    <dxf>
      <fill>
        <patternFill patternType="none">
          <bgColor indexed="65"/>
        </patternFill>
      </fill>
    </dxf>
  </rfmt>
  <rfmt sheetId="9" sqref="R132" start="0" length="0">
    <dxf>
      <numFmt numFmtId="0" formatCode="General"/>
      <fill>
        <patternFill patternType="none">
          <bgColor indexed="65"/>
        </patternFill>
      </fill>
    </dxf>
  </rfmt>
  <rfmt sheetId="9" sqref="S132" start="0" length="0">
    <dxf>
      <fill>
        <patternFill patternType="none">
          <bgColor indexed="65"/>
        </patternFill>
      </fill>
    </dxf>
  </rfmt>
  <rfmt sheetId="9" sqref="T132" start="0" length="0">
    <dxf>
      <fill>
        <patternFill patternType="none">
          <bgColor indexed="65"/>
        </patternFill>
      </fill>
    </dxf>
  </rfmt>
  <rcc rId="730" sId="9" odxf="1" dxf="1">
    <oc r="O133">
      <f>'Hist. dane kwartalne'!Z133+'Hist. dane kwartalne'!AA133</f>
    </oc>
    <nc r="O133"/>
    <ndxf>
      <numFmt numFmtId="0" formatCode="General"/>
      <fill>
        <patternFill patternType="none">
          <bgColor indexed="65"/>
        </patternFill>
      </fill>
    </ndxf>
  </rcc>
  <rfmt sheetId="9" sqref="P133" start="0" length="0">
    <dxf>
      <fill>
        <patternFill patternType="none">
          <bgColor indexed="65"/>
        </patternFill>
      </fill>
    </dxf>
  </rfmt>
  <rcc rId="731" sId="9" odxf="1" dxf="1">
    <oc r="Q133">
      <f>N127+N132+N133-'Rach. przepływów pieniężnych'!C22</f>
    </oc>
    <nc r="Q133"/>
    <odxf>
      <numFmt numFmtId="171" formatCode="_-* #,##0&quot;   &quot;;[Red]\(#,##0\)&quot;  &quot;;&quot;-   &quot;"/>
      <fill>
        <patternFill patternType="solid">
          <bgColor rgb="FFFFFF0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R133" start="0" length="0">
    <dxf>
      <numFmt numFmtId="0" formatCode="General"/>
      <fill>
        <patternFill patternType="none">
          <bgColor indexed="65"/>
        </patternFill>
      </fill>
    </dxf>
  </rfmt>
  <rfmt sheetId="9" sqref="S133" start="0" length="0">
    <dxf>
      <fill>
        <patternFill patternType="none">
          <bgColor indexed="65"/>
        </patternFill>
      </fill>
    </dxf>
  </rfmt>
  <rfmt sheetId="9" sqref="T133" start="0" length="0">
    <dxf>
      <fill>
        <patternFill patternType="none">
          <bgColor indexed="65"/>
        </patternFill>
      </fill>
    </dxf>
  </rfmt>
  <rcc rId="732" sId="9" odxf="1" dxf="1">
    <oc r="O134">
      <f>'Hist. dane kwartalne'!Z134+'Hist. dane kwartalne'!AA134</f>
    </oc>
    <nc r="O134"/>
    <ndxf>
      <numFmt numFmtId="0" formatCode="General"/>
      <fill>
        <patternFill patternType="none">
          <bgColor indexed="65"/>
        </patternFill>
      </fill>
    </ndxf>
  </rcc>
  <rcc rId="733" sId="9" odxf="1" dxf="1">
    <oc r="P134">
      <f>N134</f>
    </oc>
    <nc r="P134"/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9" sqref="Q134" start="0" length="0">
    <dxf>
      <fill>
        <patternFill patternType="none">
          <bgColor indexed="65"/>
        </patternFill>
      </fill>
    </dxf>
  </rfmt>
  <rfmt sheetId="9" sqref="R134" start="0" length="0">
    <dxf>
      <numFmt numFmtId="0" formatCode="General"/>
      <fill>
        <patternFill patternType="none">
          <bgColor indexed="65"/>
        </patternFill>
      </fill>
    </dxf>
  </rfmt>
  <rfmt sheetId="9" sqref="S134" start="0" length="0">
    <dxf>
      <fill>
        <patternFill patternType="none">
          <bgColor indexed="65"/>
        </patternFill>
      </fill>
    </dxf>
  </rfmt>
  <rfmt sheetId="9" sqref="T134" start="0" length="0">
    <dxf>
      <fill>
        <patternFill patternType="none">
          <bgColor indexed="65"/>
        </patternFill>
      </fill>
    </dxf>
  </rfmt>
  <rcc rId="734" sId="9" odxf="1" dxf="1">
    <oc r="O135">
      <f>'Hist. dane kwartalne'!Z135+'Hist. dane kwartalne'!AA135</f>
    </oc>
    <nc r="O135"/>
    <ndxf>
      <numFmt numFmtId="0" formatCode="General"/>
      <fill>
        <patternFill patternType="none">
          <bgColor indexed="65"/>
        </patternFill>
      </fill>
    </ndxf>
  </rcc>
  <rcc rId="735" sId="9" odxf="1" dxf="1">
    <oc r="P135">
      <f>N135-'Rach. przepływów pieniężnych'!C17</f>
    </oc>
    <nc r="P135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35" start="0" length="0">
    <dxf>
      <fill>
        <patternFill patternType="none">
          <bgColor indexed="65"/>
        </patternFill>
      </fill>
    </dxf>
  </rfmt>
  <rfmt sheetId="9" sqref="R135" start="0" length="0">
    <dxf>
      <numFmt numFmtId="0" formatCode="General"/>
      <fill>
        <patternFill patternType="none">
          <bgColor indexed="65"/>
        </patternFill>
      </fill>
    </dxf>
  </rfmt>
  <rfmt sheetId="9" sqref="S135" start="0" length="0">
    <dxf>
      <fill>
        <patternFill patternType="none">
          <bgColor indexed="65"/>
        </patternFill>
      </fill>
    </dxf>
  </rfmt>
  <rfmt sheetId="9" sqref="T135" start="0" length="0">
    <dxf>
      <fill>
        <patternFill patternType="none">
          <bgColor indexed="65"/>
        </patternFill>
      </fill>
    </dxf>
  </rfmt>
  <rcc rId="736" sId="9" odxf="1" dxf="1">
    <oc r="O136">
      <f>'Hist. dane kwartalne'!Z136+'Hist. dane kwartalne'!AA136</f>
    </oc>
    <nc r="O136"/>
    <ndxf>
      <numFmt numFmtId="0" formatCode="General"/>
      <fill>
        <patternFill patternType="none">
          <bgColor indexed="65"/>
        </patternFill>
      </fill>
    </ndxf>
  </rcc>
  <rcc rId="737" sId="9" odxf="1" dxf="1">
    <oc r="P136">
      <f>N136-'Rach. przepływów pieniężnych'!C15</f>
    </oc>
    <nc r="P136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36" start="0" length="0">
    <dxf>
      <fill>
        <patternFill patternType="none">
          <bgColor indexed="65"/>
        </patternFill>
      </fill>
    </dxf>
  </rfmt>
  <rfmt sheetId="9" sqref="R136" start="0" length="0">
    <dxf>
      <numFmt numFmtId="0" formatCode="General"/>
      <fill>
        <patternFill patternType="none">
          <bgColor indexed="65"/>
        </patternFill>
      </fill>
    </dxf>
  </rfmt>
  <rfmt sheetId="9" sqref="S136" start="0" length="0">
    <dxf>
      <fill>
        <patternFill patternType="none">
          <bgColor indexed="65"/>
        </patternFill>
      </fill>
    </dxf>
  </rfmt>
  <rfmt sheetId="9" sqref="T136" start="0" length="0">
    <dxf>
      <fill>
        <patternFill patternType="none">
          <bgColor indexed="65"/>
        </patternFill>
      </fill>
    </dxf>
  </rfmt>
  <rcc rId="738" sId="9" odxf="1" dxf="1">
    <oc r="O137">
      <f>'Hist. dane kwartalne'!Z137+'Hist. dane kwartalne'!AA137</f>
    </oc>
    <nc r="O137"/>
    <ndxf>
      <numFmt numFmtId="0" formatCode="General"/>
      <fill>
        <patternFill patternType="none">
          <bgColor indexed="65"/>
        </patternFill>
      </fill>
    </ndxf>
  </rcc>
  <rcc rId="739" sId="9" odxf="1" dxf="1">
    <oc r="P137">
      <f>N137-'Rach. przepływów pieniężnych'!C24</f>
    </oc>
    <nc r="P137"/>
    <odxf>
      <numFmt numFmtId="171" formatCode="_-* #,##0&quot;   &quot;;[Red]\(#,##0\)&quot;  &quot;;&quot;-   &quot;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37" start="0" length="0">
    <dxf>
      <fill>
        <patternFill patternType="none">
          <bgColor indexed="65"/>
        </patternFill>
      </fill>
    </dxf>
  </rfmt>
  <rfmt sheetId="9" sqref="R137" start="0" length="0">
    <dxf>
      <numFmt numFmtId="0" formatCode="General"/>
      <fill>
        <patternFill patternType="none">
          <bgColor indexed="65"/>
        </patternFill>
      </fill>
    </dxf>
  </rfmt>
  <rfmt sheetId="9" sqref="S137" start="0" length="0">
    <dxf>
      <fill>
        <patternFill patternType="none">
          <bgColor indexed="65"/>
        </patternFill>
      </fill>
    </dxf>
  </rfmt>
  <rfmt sheetId="9" sqref="T137" start="0" length="0">
    <dxf>
      <fill>
        <patternFill patternType="none">
          <bgColor indexed="65"/>
        </patternFill>
      </fill>
    </dxf>
  </rfmt>
  <rcc rId="740" sId="9" odxf="1" dxf="1">
    <oc r="O138">
      <f>'Hist. dane kwartalne'!Z138+'Hist. dane kwartalne'!AA138</f>
    </oc>
    <nc r="O138"/>
    <ndxf>
      <numFmt numFmtId="0" formatCode="General"/>
      <fill>
        <patternFill patternType="none">
          <bgColor indexed="65"/>
        </patternFill>
      </fill>
    </ndxf>
  </rcc>
  <rfmt sheetId="9" sqref="P138" start="0" length="0">
    <dxf>
      <fill>
        <patternFill patternType="none">
          <bgColor indexed="65"/>
        </patternFill>
      </fill>
    </dxf>
  </rfmt>
  <rfmt sheetId="9" sqref="Q138" start="0" length="0">
    <dxf>
      <fill>
        <patternFill patternType="none">
          <bgColor indexed="65"/>
        </patternFill>
      </fill>
    </dxf>
  </rfmt>
  <rfmt sheetId="9" sqref="R138" start="0" length="0">
    <dxf>
      <numFmt numFmtId="0" formatCode="General"/>
      <fill>
        <patternFill patternType="none">
          <bgColor indexed="65"/>
        </patternFill>
      </fill>
    </dxf>
  </rfmt>
  <rfmt sheetId="9" sqref="S138" start="0" length="0">
    <dxf>
      <fill>
        <patternFill patternType="none">
          <bgColor indexed="65"/>
        </patternFill>
      </fill>
    </dxf>
  </rfmt>
  <rfmt sheetId="9" sqref="T138" start="0" length="0">
    <dxf>
      <fill>
        <patternFill patternType="none">
          <bgColor indexed="65"/>
        </patternFill>
      </fill>
    </dxf>
  </rfmt>
  <rcc rId="741" sId="9" odxf="1" dxf="1">
    <oc r="O139">
      <f>'Hist. dane kwartalne'!Z139+'Hist. dane kwartalne'!AA139</f>
    </oc>
    <nc r="O139"/>
    <ndxf>
      <numFmt numFmtId="0" formatCode="General"/>
      <fill>
        <patternFill patternType="none">
          <bgColor indexed="65"/>
        </patternFill>
      </fill>
    </ndxf>
  </rcc>
  <rfmt sheetId="9" sqref="P139" start="0" length="0">
    <dxf>
      <numFmt numFmtId="0" formatCode="General"/>
      <fill>
        <patternFill patternType="none">
          <bgColor indexed="65"/>
        </patternFill>
      </fill>
    </dxf>
  </rfmt>
  <rfmt sheetId="9" sqref="Q139" start="0" length="0">
    <dxf>
      <fill>
        <patternFill patternType="none">
          <bgColor indexed="65"/>
        </patternFill>
      </fill>
    </dxf>
  </rfmt>
  <rfmt sheetId="9" sqref="R139" start="0" length="0">
    <dxf>
      <numFmt numFmtId="0" formatCode="General"/>
      <fill>
        <patternFill patternType="none">
          <bgColor indexed="65"/>
        </patternFill>
      </fill>
    </dxf>
  </rfmt>
  <rfmt sheetId="9" sqref="S139" start="0" length="0">
    <dxf>
      <fill>
        <patternFill patternType="none">
          <bgColor indexed="65"/>
        </patternFill>
      </fill>
    </dxf>
  </rfmt>
  <rfmt sheetId="9" sqref="T139" start="0" length="0">
    <dxf>
      <fill>
        <patternFill patternType="none">
          <bgColor indexed="65"/>
        </patternFill>
      </fill>
    </dxf>
  </rfmt>
  <rcc rId="742" sId="9" odxf="1" dxf="1">
    <oc r="O140">
      <f>'Hist. dane kwartalne'!Z140+'Hist. dane kwartalne'!AA140</f>
    </oc>
    <nc r="O140"/>
    <ndxf>
      <numFmt numFmtId="0" formatCode="General"/>
      <fill>
        <patternFill patternType="none">
          <bgColor indexed="65"/>
        </patternFill>
      </fill>
    </ndxf>
  </rcc>
  <rcc rId="743" sId="9" odxf="1" dxf="1">
    <oc r="P140">
      <f>N140-'Rach. przepływów pieniężnych'!C32</f>
    </oc>
    <nc r="P140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40" start="0" length="0">
    <dxf>
      <fill>
        <patternFill patternType="none">
          <bgColor indexed="65"/>
        </patternFill>
      </fill>
    </dxf>
  </rfmt>
  <rfmt sheetId="9" sqref="R140" start="0" length="0">
    <dxf>
      <numFmt numFmtId="0" formatCode="General"/>
      <fill>
        <patternFill patternType="none">
          <bgColor indexed="65"/>
        </patternFill>
      </fill>
    </dxf>
  </rfmt>
  <rfmt sheetId="9" sqref="S140" start="0" length="0">
    <dxf>
      <fill>
        <patternFill patternType="none">
          <bgColor indexed="65"/>
        </patternFill>
      </fill>
    </dxf>
  </rfmt>
  <rfmt sheetId="9" sqref="T140" start="0" length="0">
    <dxf>
      <fill>
        <patternFill patternType="none">
          <bgColor indexed="65"/>
        </patternFill>
      </fill>
    </dxf>
  </rfmt>
  <rcc rId="744" sId="9" odxf="1" dxf="1">
    <oc r="O141">
      <f>'Hist. dane kwartalne'!Z141+'Hist. dane kwartalne'!AA141</f>
    </oc>
    <nc r="O141"/>
    <ndxf>
      <numFmt numFmtId="0" formatCode="General"/>
      <fill>
        <patternFill patternType="none">
          <bgColor indexed="65"/>
        </patternFill>
      </fill>
    </ndxf>
  </rcc>
  <rcc rId="745" sId="9" odxf="1" dxf="1">
    <oc r="P141">
      <f>N141-'Rach. przepływów pieniężnych'!C27</f>
    </oc>
    <nc r="P141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41" start="0" length="0">
    <dxf>
      <fill>
        <patternFill patternType="none">
          <bgColor indexed="65"/>
        </patternFill>
      </fill>
    </dxf>
  </rfmt>
  <rfmt sheetId="9" sqref="R141" start="0" length="0">
    <dxf>
      <numFmt numFmtId="0" formatCode="General"/>
      <fill>
        <patternFill patternType="none">
          <bgColor indexed="65"/>
        </patternFill>
      </fill>
    </dxf>
  </rfmt>
  <rfmt sheetId="9" sqref="S141" start="0" length="0">
    <dxf>
      <fill>
        <patternFill patternType="none">
          <bgColor indexed="65"/>
        </patternFill>
      </fill>
    </dxf>
  </rfmt>
  <rfmt sheetId="9" sqref="T141" start="0" length="0">
    <dxf>
      <fill>
        <patternFill patternType="none">
          <bgColor indexed="65"/>
        </patternFill>
      </fill>
    </dxf>
  </rfmt>
  <rcc rId="746" sId="9" odxf="1" dxf="1">
    <oc r="O142">
      <f>'Hist. dane kwartalne'!Z142+'Hist. dane kwartalne'!AA142</f>
    </oc>
    <nc r="O142"/>
    <ndxf>
      <numFmt numFmtId="0" formatCode="General"/>
      <fill>
        <patternFill patternType="none">
          <bgColor indexed="65"/>
        </patternFill>
      </fill>
    </ndxf>
  </rcc>
  <rcc rId="747" sId="9" odxf="1" dxf="1">
    <oc r="P142">
      <f>N142-'Rach. przepływów pieniężnych'!C31</f>
    </oc>
    <nc r="P142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42" start="0" length="0">
    <dxf>
      <fill>
        <patternFill patternType="none">
          <bgColor indexed="65"/>
        </patternFill>
      </fill>
    </dxf>
  </rfmt>
  <rfmt sheetId="9" sqref="R142" start="0" length="0">
    <dxf>
      <numFmt numFmtId="0" formatCode="General"/>
      <fill>
        <patternFill patternType="none">
          <bgColor indexed="65"/>
        </patternFill>
      </fill>
    </dxf>
  </rfmt>
  <rfmt sheetId="9" sqref="S142" start="0" length="0">
    <dxf>
      <fill>
        <patternFill patternType="none">
          <bgColor indexed="65"/>
        </patternFill>
      </fill>
    </dxf>
  </rfmt>
  <rfmt sheetId="9" sqref="T142" start="0" length="0">
    <dxf>
      <fill>
        <patternFill patternType="none">
          <bgColor indexed="65"/>
        </patternFill>
      </fill>
    </dxf>
  </rfmt>
  <rcc rId="748" sId="9" odxf="1" dxf="1">
    <oc r="O143">
      <f>'Hist. dane kwartalne'!Z143+'Hist. dane kwartalne'!AA143</f>
    </oc>
    <nc r="O143"/>
    <ndxf>
      <numFmt numFmtId="0" formatCode="General"/>
      <fill>
        <patternFill patternType="none">
          <bgColor indexed="65"/>
        </patternFill>
      </fill>
    </ndxf>
  </rcc>
  <rcc rId="749" sId="9" odxf="1" dxf="1">
    <oc r="P143">
      <f>N143-'Rach. przepływów pieniężnych'!C26</f>
    </oc>
    <nc r="P143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43" start="0" length="0">
    <dxf>
      <fill>
        <patternFill patternType="none">
          <bgColor indexed="65"/>
        </patternFill>
      </fill>
    </dxf>
  </rfmt>
  <rfmt sheetId="9" sqref="R143" start="0" length="0">
    <dxf>
      <numFmt numFmtId="0" formatCode="General"/>
      <fill>
        <patternFill patternType="none">
          <bgColor indexed="65"/>
        </patternFill>
      </fill>
    </dxf>
  </rfmt>
  <rfmt sheetId="9" sqref="S143" start="0" length="0">
    <dxf>
      <fill>
        <patternFill patternType="none">
          <bgColor indexed="65"/>
        </patternFill>
      </fill>
    </dxf>
  </rfmt>
  <rfmt sheetId="9" sqref="T143" start="0" length="0">
    <dxf>
      <fill>
        <patternFill patternType="none">
          <bgColor indexed="65"/>
        </patternFill>
      </fill>
    </dxf>
  </rfmt>
  <rcc rId="750" sId="9" odxf="1" dxf="1">
    <oc r="O144">
      <f>'Hist. dane kwartalne'!Z144+'Hist. dane kwartalne'!AA144</f>
    </oc>
    <nc r="O144"/>
    <ndxf>
      <numFmt numFmtId="0" formatCode="General"/>
      <fill>
        <patternFill patternType="none">
          <bgColor indexed="65"/>
        </patternFill>
      </fill>
    </ndxf>
  </rcc>
  <rfmt sheetId="9" sqref="P144" start="0" length="0">
    <dxf>
      <numFmt numFmtId="0" formatCode="General"/>
      <fill>
        <patternFill patternType="none">
          <bgColor indexed="65"/>
        </patternFill>
      </fill>
    </dxf>
  </rfmt>
  <rfmt sheetId="9" sqref="Q144" start="0" length="0">
    <dxf>
      <fill>
        <patternFill patternType="none">
          <bgColor indexed="65"/>
        </patternFill>
      </fill>
    </dxf>
  </rfmt>
  <rfmt sheetId="9" sqref="R144" start="0" length="0">
    <dxf>
      <numFmt numFmtId="0" formatCode="General"/>
      <fill>
        <patternFill patternType="none">
          <bgColor indexed="65"/>
        </patternFill>
      </fill>
    </dxf>
  </rfmt>
  <rfmt sheetId="9" sqref="S144" start="0" length="0">
    <dxf>
      <fill>
        <patternFill patternType="none">
          <bgColor indexed="65"/>
        </patternFill>
      </fill>
    </dxf>
  </rfmt>
  <rfmt sheetId="9" sqref="T144" start="0" length="0">
    <dxf>
      <fill>
        <patternFill patternType="none">
          <bgColor indexed="65"/>
        </patternFill>
      </fill>
    </dxf>
  </rfmt>
  <rcc rId="751" sId="9" odxf="1" dxf="1">
    <oc r="O145">
      <f>'Hist. dane kwartalne'!Z145+'Hist. dane kwartalne'!AA145</f>
    </oc>
    <nc r="O145"/>
    <ndxf>
      <numFmt numFmtId="0" formatCode="General"/>
      <fill>
        <patternFill patternType="none">
          <bgColor indexed="65"/>
        </patternFill>
      </fill>
    </ndxf>
  </rcc>
  <rfmt sheetId="9" sqref="P145" start="0" length="0">
    <dxf>
      <numFmt numFmtId="0" formatCode="General"/>
      <fill>
        <patternFill patternType="none">
          <bgColor indexed="65"/>
        </patternFill>
      </fill>
    </dxf>
  </rfmt>
  <rfmt sheetId="9" sqref="Q145" start="0" length="0">
    <dxf>
      <fill>
        <patternFill patternType="none">
          <bgColor indexed="65"/>
        </patternFill>
      </fill>
    </dxf>
  </rfmt>
  <rfmt sheetId="9" sqref="R145" start="0" length="0">
    <dxf>
      <numFmt numFmtId="0" formatCode="General"/>
      <fill>
        <patternFill patternType="none">
          <bgColor indexed="65"/>
        </patternFill>
      </fill>
    </dxf>
  </rfmt>
  <rfmt sheetId="9" sqref="S145" start="0" length="0">
    <dxf>
      <fill>
        <patternFill patternType="none">
          <bgColor indexed="65"/>
        </patternFill>
      </fill>
    </dxf>
  </rfmt>
  <rfmt sheetId="9" sqref="T145" start="0" length="0">
    <dxf>
      <fill>
        <patternFill patternType="none">
          <bgColor indexed="65"/>
        </patternFill>
      </fill>
    </dxf>
  </rfmt>
  <rcc rId="752" sId="9" odxf="1" dxf="1">
    <oc r="O146">
      <f>'Hist. dane kwartalne'!Z146+'Hist. dane kwartalne'!AA146</f>
    </oc>
    <nc r="O146"/>
    <ndxf>
      <numFmt numFmtId="0" formatCode="General"/>
      <fill>
        <patternFill patternType="none">
          <bgColor indexed="65"/>
        </patternFill>
      </fill>
    </ndxf>
  </rcc>
  <rcc rId="753" sId="9" odxf="1" dxf="1">
    <oc r="P146">
      <f>N146-'Rach. przepływów pieniężnych'!C28</f>
    </oc>
    <nc r="P146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46" start="0" length="0">
    <dxf>
      <fill>
        <patternFill patternType="none">
          <bgColor indexed="65"/>
        </patternFill>
      </fill>
    </dxf>
  </rfmt>
  <rfmt sheetId="9" sqref="R146" start="0" length="0">
    <dxf>
      <numFmt numFmtId="0" formatCode="General"/>
      <fill>
        <patternFill patternType="none">
          <bgColor indexed="65"/>
        </patternFill>
      </fill>
    </dxf>
  </rfmt>
  <rfmt sheetId="9" sqref="S146" start="0" length="0">
    <dxf>
      <fill>
        <patternFill patternType="none">
          <bgColor indexed="65"/>
        </patternFill>
      </fill>
    </dxf>
  </rfmt>
  <rfmt sheetId="9" sqref="T146" start="0" length="0">
    <dxf>
      <fill>
        <patternFill patternType="none">
          <bgColor indexed="65"/>
        </patternFill>
      </fill>
    </dxf>
  </rfmt>
  <rcc rId="754" sId="9" odxf="1" dxf="1">
    <oc r="O147">
      <f>'Hist. dane kwartalne'!Z147+'Hist. dane kwartalne'!AA147</f>
    </oc>
    <nc r="O147"/>
    <ndxf>
      <numFmt numFmtId="0" formatCode="General"/>
      <fill>
        <patternFill patternType="none">
          <bgColor indexed="65"/>
        </patternFill>
      </fill>
    </ndxf>
  </rcc>
  <rfmt sheetId="9" sqref="P147" start="0" length="0">
    <dxf>
      <numFmt numFmtId="0" formatCode="General"/>
      <fill>
        <patternFill patternType="none">
          <bgColor indexed="65"/>
        </patternFill>
      </fill>
    </dxf>
  </rfmt>
  <rfmt sheetId="9" sqref="Q147" start="0" length="0">
    <dxf>
      <fill>
        <patternFill patternType="none">
          <bgColor indexed="65"/>
        </patternFill>
      </fill>
    </dxf>
  </rfmt>
  <rfmt sheetId="9" sqref="R147" start="0" length="0">
    <dxf>
      <numFmt numFmtId="0" formatCode="General"/>
      <fill>
        <patternFill patternType="none">
          <bgColor indexed="65"/>
        </patternFill>
      </fill>
    </dxf>
  </rfmt>
  <rfmt sheetId="9" sqref="S147" start="0" length="0">
    <dxf>
      <fill>
        <patternFill patternType="none">
          <bgColor indexed="65"/>
        </patternFill>
      </fill>
    </dxf>
  </rfmt>
  <rfmt sheetId="9" sqref="T147" start="0" length="0">
    <dxf>
      <fill>
        <patternFill patternType="none">
          <bgColor indexed="65"/>
        </patternFill>
      </fill>
    </dxf>
  </rfmt>
  <rcc rId="755" sId="9" odxf="1" dxf="1">
    <oc r="O148">
      <f>'Hist. dane kwartalne'!Z148+'Hist. dane kwartalne'!AA148</f>
    </oc>
    <nc r="O148"/>
    <ndxf>
      <numFmt numFmtId="0" formatCode="General"/>
      <fill>
        <patternFill patternType="none">
          <bgColor indexed="65"/>
        </patternFill>
      </fill>
    </ndxf>
  </rcc>
  <rfmt sheetId="9" sqref="P148" start="0" length="0">
    <dxf>
      <numFmt numFmtId="0" formatCode="General"/>
      <fill>
        <patternFill patternType="none">
          <bgColor indexed="65"/>
        </patternFill>
      </fill>
    </dxf>
  </rfmt>
  <rcc rId="756" sId="9" odxf="1" dxf="1">
    <oc r="Q148">
      <f>N139+N144+N145+N148+N147-'Rach. przepływów pieniężnych'!C29-'Rach. przepływów pieniężnych'!C33</f>
    </oc>
    <nc r="Q148"/>
    <odxf>
      <numFmt numFmtId="171" formatCode="_-* #,##0&quot;   &quot;;[Red]\(#,##0\)&quot;  &quot;;&quot;-   &quot;"/>
      <fill>
        <patternFill patternType="solid">
          <bgColor rgb="FFFFFF0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R148" start="0" length="0">
    <dxf>
      <numFmt numFmtId="0" formatCode="General"/>
      <fill>
        <patternFill patternType="none">
          <bgColor indexed="65"/>
        </patternFill>
      </fill>
    </dxf>
  </rfmt>
  <rfmt sheetId="9" sqref="S148" start="0" length="0">
    <dxf>
      <fill>
        <patternFill patternType="none">
          <bgColor indexed="65"/>
        </patternFill>
      </fill>
    </dxf>
  </rfmt>
  <rfmt sheetId="9" sqref="T148" start="0" length="0">
    <dxf>
      <fill>
        <patternFill patternType="none">
          <bgColor indexed="65"/>
        </patternFill>
      </fill>
    </dxf>
  </rfmt>
  <rcc rId="757" sId="9" odxf="1" dxf="1">
    <oc r="O149">
      <f>'Hist. dane kwartalne'!Z149+'Hist. dane kwartalne'!AA149</f>
    </oc>
    <nc r="O149"/>
    <ndxf>
      <numFmt numFmtId="0" formatCode="General"/>
      <fill>
        <patternFill patternType="none">
          <bgColor indexed="65"/>
        </patternFill>
      </fill>
    </ndxf>
  </rcc>
  <rcc rId="758" sId="9" odxf="1" dxf="1">
    <oc r="P149">
      <f>N149-'Rach. przepływów pieniężnych'!C35</f>
    </oc>
    <nc r="P149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49" start="0" length="0">
    <dxf>
      <fill>
        <patternFill patternType="none">
          <bgColor indexed="65"/>
        </patternFill>
      </fill>
    </dxf>
  </rfmt>
  <rfmt sheetId="9" sqref="R149" start="0" length="0">
    <dxf>
      <numFmt numFmtId="0" formatCode="General"/>
      <fill>
        <patternFill patternType="none">
          <bgColor indexed="65"/>
        </patternFill>
      </fill>
    </dxf>
  </rfmt>
  <rfmt sheetId="9" sqref="S149" start="0" length="0">
    <dxf>
      <fill>
        <patternFill patternType="none">
          <bgColor indexed="65"/>
        </patternFill>
      </fill>
    </dxf>
  </rfmt>
  <rfmt sheetId="9" sqref="T149" start="0" length="0">
    <dxf>
      <fill>
        <patternFill patternType="none">
          <bgColor indexed="65"/>
        </patternFill>
      </fill>
    </dxf>
  </rfmt>
  <rcc rId="759" sId="9" odxf="1" dxf="1">
    <oc r="O150">
      <f>'Hist. dane kwartalne'!Z150+'Hist. dane kwartalne'!AA150</f>
    </oc>
    <nc r="O150"/>
    <ndxf>
      <numFmt numFmtId="0" formatCode="General"/>
      <fill>
        <patternFill patternType="none">
          <bgColor indexed="65"/>
        </patternFill>
      </fill>
    </ndxf>
  </rcc>
  <rcc rId="760" sId="9" odxf="1" dxf="1">
    <oc r="P150">
      <f>N150-'Rach. przepływów pieniężnych'!C36</f>
    </oc>
    <nc r="P150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50" start="0" length="0">
    <dxf>
      <fill>
        <patternFill patternType="none">
          <bgColor indexed="65"/>
        </patternFill>
      </fill>
    </dxf>
  </rfmt>
  <rfmt sheetId="9" sqref="R150" start="0" length="0">
    <dxf>
      <numFmt numFmtId="0" formatCode="General"/>
      <fill>
        <patternFill patternType="none">
          <bgColor indexed="65"/>
        </patternFill>
      </fill>
    </dxf>
  </rfmt>
  <rfmt sheetId="9" sqref="S150" start="0" length="0">
    <dxf>
      <fill>
        <patternFill patternType="none">
          <bgColor indexed="65"/>
        </patternFill>
      </fill>
    </dxf>
  </rfmt>
  <rfmt sheetId="9" sqref="T150" start="0" length="0">
    <dxf>
      <fill>
        <patternFill patternType="none">
          <bgColor indexed="65"/>
        </patternFill>
      </fill>
    </dxf>
  </rfmt>
  <rcc rId="761" sId="9" odxf="1" dxf="1">
    <oc r="O151">
      <f>'Hist. dane kwartalne'!Z151+'Hist. dane kwartalne'!AA151</f>
    </oc>
    <nc r="O151"/>
    <ndxf>
      <numFmt numFmtId="0" formatCode="General"/>
      <fill>
        <patternFill patternType="none">
          <bgColor indexed="65"/>
        </patternFill>
      </fill>
    </ndxf>
  </rcc>
  <rcc rId="762" sId="9" odxf="1" dxf="1">
    <oc r="P151">
      <f>N151-'Rach. przepływów pieniężnych'!C37</f>
    </oc>
    <nc r="P151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51" start="0" length="0">
    <dxf>
      <fill>
        <patternFill patternType="none">
          <bgColor indexed="65"/>
        </patternFill>
      </fill>
    </dxf>
  </rfmt>
  <rfmt sheetId="9" sqref="R151" start="0" length="0">
    <dxf>
      <numFmt numFmtId="0" formatCode="General"/>
      <fill>
        <patternFill patternType="none">
          <bgColor indexed="65"/>
        </patternFill>
      </fill>
    </dxf>
  </rfmt>
  <rfmt sheetId="9" sqref="S151" start="0" length="0">
    <dxf>
      <fill>
        <patternFill patternType="none">
          <bgColor indexed="65"/>
        </patternFill>
      </fill>
    </dxf>
  </rfmt>
  <rfmt sheetId="9" sqref="T151" start="0" length="0">
    <dxf>
      <fill>
        <patternFill patternType="none">
          <bgColor indexed="65"/>
        </patternFill>
      </fill>
    </dxf>
  </rfmt>
  <rcc rId="763" sId="9" odxf="1" dxf="1">
    <oc r="O152">
      <f>'Hist. dane kwartalne'!Z152+'Hist. dane kwartalne'!AA152</f>
    </oc>
    <nc r="O152"/>
    <ndxf>
      <numFmt numFmtId="0" formatCode="General"/>
      <fill>
        <patternFill patternType="none">
          <bgColor indexed="65"/>
        </patternFill>
      </fill>
    </ndxf>
  </rcc>
  <rcc rId="764" sId="9" odxf="1" dxf="1">
    <oc r="P152">
      <f>N152-'Rach. przepływów pieniężnych'!C38</f>
    </oc>
    <nc r="P152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52" start="0" length="0">
    <dxf>
      <fill>
        <patternFill patternType="none">
          <bgColor indexed="65"/>
        </patternFill>
      </fill>
    </dxf>
  </rfmt>
  <rfmt sheetId="9" sqref="R152" start="0" length="0">
    <dxf>
      <numFmt numFmtId="0" formatCode="General"/>
      <fill>
        <patternFill patternType="none">
          <bgColor indexed="65"/>
        </patternFill>
      </fill>
    </dxf>
  </rfmt>
  <rfmt sheetId="9" sqref="S152" start="0" length="0">
    <dxf>
      <fill>
        <patternFill patternType="none">
          <bgColor indexed="65"/>
        </patternFill>
      </fill>
    </dxf>
  </rfmt>
  <rfmt sheetId="9" sqref="T152" start="0" length="0">
    <dxf>
      <fill>
        <patternFill patternType="none">
          <bgColor indexed="65"/>
        </patternFill>
      </fill>
    </dxf>
  </rfmt>
  <rcc rId="765" sId="9" odxf="1" dxf="1">
    <oc r="O153">
      <f>'Hist. dane kwartalne'!Z153+'Hist. dane kwartalne'!AA153</f>
    </oc>
    <nc r="O153"/>
    <ndxf>
      <numFmt numFmtId="0" formatCode="General"/>
      <fill>
        <patternFill patternType="none">
          <bgColor indexed="65"/>
        </patternFill>
      </fill>
    </ndxf>
  </rcc>
  <rcc rId="766" sId="9" odxf="1" dxf="1">
    <oc r="P153">
      <f>N153-'Rach. przepływów pieniężnych'!C39</f>
    </oc>
    <nc r="P153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53" start="0" length="0">
    <dxf>
      <fill>
        <patternFill patternType="none">
          <bgColor indexed="65"/>
        </patternFill>
      </fill>
    </dxf>
  </rfmt>
  <rfmt sheetId="9" sqref="R153" start="0" length="0">
    <dxf>
      <numFmt numFmtId="0" formatCode="General"/>
      <fill>
        <patternFill patternType="none">
          <bgColor indexed="65"/>
        </patternFill>
      </fill>
    </dxf>
  </rfmt>
  <rfmt sheetId="9" sqref="S153" start="0" length="0">
    <dxf>
      <fill>
        <patternFill patternType="none">
          <bgColor indexed="65"/>
        </patternFill>
      </fill>
    </dxf>
  </rfmt>
  <rfmt sheetId="9" sqref="T153" start="0" length="0">
    <dxf>
      <fill>
        <patternFill patternType="none">
          <bgColor indexed="65"/>
        </patternFill>
      </fill>
    </dxf>
  </rfmt>
  <rcc rId="767" sId="9" odxf="1" dxf="1">
    <oc r="O154">
      <f>'Hist. dane kwartalne'!Z154+'Hist. dane kwartalne'!AA154</f>
    </oc>
    <nc r="O154"/>
    <ndxf>
      <numFmt numFmtId="0" formatCode="General"/>
      <fill>
        <patternFill patternType="none">
          <bgColor indexed="65"/>
        </patternFill>
      </fill>
    </ndxf>
  </rcc>
  <rcc rId="768" sId="9" odxf="1" dxf="1">
    <oc r="P154">
      <f>N154-'Rach. przepływów pieniężnych'!C40</f>
    </oc>
    <nc r="P154"/>
    <odxf>
      <numFmt numFmtId="6" formatCode="#,##0\ _z_ł;[Red]\-#,##0\ _z_ł"/>
      <fill>
        <patternFill patternType="solid">
          <bgColor theme="0"/>
        </patternFill>
      </fill>
    </odxf>
    <ndxf>
      <numFmt numFmtId="0" formatCode="General"/>
      <fill>
        <patternFill patternType="none">
          <bgColor indexed="65"/>
        </patternFill>
      </fill>
    </ndxf>
  </rcc>
  <rfmt sheetId="9" sqref="Q154" start="0" length="0">
    <dxf>
      <fill>
        <patternFill patternType="none">
          <bgColor indexed="65"/>
        </patternFill>
      </fill>
    </dxf>
  </rfmt>
  <rfmt sheetId="9" sqref="R154" start="0" length="0">
    <dxf>
      <numFmt numFmtId="0" formatCode="General"/>
      <fill>
        <patternFill patternType="none">
          <bgColor indexed="65"/>
        </patternFill>
      </fill>
    </dxf>
  </rfmt>
  <rfmt sheetId="9" sqref="S154" start="0" length="0">
    <dxf>
      <fill>
        <patternFill patternType="none">
          <bgColor indexed="65"/>
        </patternFill>
      </fill>
    </dxf>
  </rfmt>
  <rfmt sheetId="9" sqref="T154" start="0" length="0">
    <dxf>
      <fill>
        <patternFill patternType="none">
          <bgColor indexed="65"/>
        </patternFill>
      </fill>
    </dxf>
  </rfmt>
  <rfmt sheetId="9" sqref="O155" start="0" length="0">
    <dxf>
      <fill>
        <patternFill patternType="none">
          <bgColor indexed="65"/>
        </patternFill>
      </fill>
    </dxf>
  </rfmt>
  <rfmt sheetId="9" sqref="P155" start="0" length="0">
    <dxf>
      <fill>
        <patternFill patternType="none">
          <bgColor indexed="65"/>
        </patternFill>
      </fill>
    </dxf>
  </rfmt>
  <rfmt sheetId="9" sqref="Q155" start="0" length="0">
    <dxf>
      <fill>
        <patternFill patternType="none">
          <bgColor indexed="65"/>
        </patternFill>
      </fill>
    </dxf>
  </rfmt>
  <rfmt sheetId="9" sqref="R155" start="0" length="0">
    <dxf>
      <fill>
        <patternFill patternType="none">
          <bgColor indexed="65"/>
        </patternFill>
      </fill>
    </dxf>
  </rfmt>
  <rfmt sheetId="9" sqref="S155" start="0" length="0">
    <dxf>
      <fill>
        <patternFill patternType="none">
          <bgColor indexed="65"/>
        </patternFill>
      </fill>
    </dxf>
  </rfmt>
  <rfmt sheetId="9" sqref="T155" start="0" length="0">
    <dxf>
      <fill>
        <patternFill patternType="none">
          <bgColor indexed="65"/>
        </patternFill>
      </fill>
    </dxf>
  </rfmt>
  <rfmt sheetId="9" sqref="O156" start="0" length="0">
    <dxf>
      <fill>
        <patternFill patternType="none">
          <bgColor indexed="65"/>
        </patternFill>
      </fill>
    </dxf>
  </rfmt>
  <rfmt sheetId="9" sqref="P156" start="0" length="0">
    <dxf>
      <fill>
        <patternFill patternType="none">
          <bgColor indexed="65"/>
        </patternFill>
      </fill>
    </dxf>
  </rfmt>
  <rfmt sheetId="9" sqref="Q156" start="0" length="0">
    <dxf>
      <fill>
        <patternFill patternType="none">
          <bgColor indexed="65"/>
        </patternFill>
      </fill>
    </dxf>
  </rfmt>
  <rfmt sheetId="9" sqref="R156" start="0" length="0">
    <dxf>
      <fill>
        <patternFill patternType="none">
          <bgColor indexed="65"/>
        </patternFill>
      </fill>
    </dxf>
  </rfmt>
  <rfmt sheetId="9" sqref="S156" start="0" length="0">
    <dxf>
      <fill>
        <patternFill patternType="none">
          <bgColor indexed="65"/>
        </patternFill>
      </fill>
    </dxf>
  </rfmt>
  <rfmt sheetId="9" sqref="T156" start="0" length="0">
    <dxf>
      <fill>
        <patternFill patternType="none">
          <bgColor indexed="65"/>
        </patternFill>
      </fill>
    </dxf>
  </rfmt>
  <rfmt sheetId="9" sqref="O157" start="0" length="0">
    <dxf>
      <fill>
        <patternFill patternType="none">
          <bgColor indexed="65"/>
        </patternFill>
      </fill>
    </dxf>
  </rfmt>
  <rfmt sheetId="9" sqref="P157" start="0" length="0">
    <dxf>
      <fill>
        <patternFill patternType="none">
          <bgColor indexed="65"/>
        </patternFill>
      </fill>
    </dxf>
  </rfmt>
  <rfmt sheetId="9" sqref="Q157" start="0" length="0">
    <dxf>
      <fill>
        <patternFill patternType="none">
          <bgColor indexed="65"/>
        </patternFill>
      </fill>
    </dxf>
  </rfmt>
  <rfmt sheetId="9" sqref="R157" start="0" length="0">
    <dxf>
      <fill>
        <patternFill patternType="none">
          <bgColor indexed="65"/>
        </patternFill>
      </fill>
    </dxf>
  </rfmt>
  <rfmt sheetId="9" sqref="S157" start="0" length="0">
    <dxf>
      <fill>
        <patternFill patternType="none">
          <bgColor indexed="65"/>
        </patternFill>
      </fill>
    </dxf>
  </rfmt>
  <rfmt sheetId="9" sqref="T157" start="0" length="0">
    <dxf>
      <fill>
        <patternFill patternType="none">
          <bgColor indexed="65"/>
        </patternFill>
      </fill>
    </dxf>
  </rfmt>
  <rfmt sheetId="9" sqref="O158" start="0" length="0">
    <dxf>
      <fill>
        <patternFill patternType="none">
          <bgColor indexed="65"/>
        </patternFill>
      </fill>
    </dxf>
  </rfmt>
  <rfmt sheetId="9" sqref="P158" start="0" length="0">
    <dxf>
      <fill>
        <patternFill patternType="none">
          <bgColor indexed="65"/>
        </patternFill>
      </fill>
    </dxf>
  </rfmt>
  <rfmt sheetId="9" sqref="Q158" start="0" length="0">
    <dxf>
      <fill>
        <patternFill patternType="none">
          <bgColor indexed="65"/>
        </patternFill>
      </fill>
    </dxf>
  </rfmt>
  <rfmt sheetId="9" sqref="R158" start="0" length="0">
    <dxf>
      <fill>
        <patternFill patternType="none">
          <bgColor indexed="65"/>
        </patternFill>
      </fill>
    </dxf>
  </rfmt>
  <rfmt sheetId="9" sqref="S158" start="0" length="0">
    <dxf>
      <fill>
        <patternFill patternType="none">
          <bgColor indexed="65"/>
        </patternFill>
      </fill>
    </dxf>
  </rfmt>
  <rfmt sheetId="9" sqref="T158" start="0" length="0">
    <dxf>
      <fill>
        <patternFill patternType="none">
          <bgColor indexed="65"/>
        </patternFill>
      </fill>
    </dxf>
  </rfmt>
  <rfmt sheetId="9" sqref="O159" start="0" length="0">
    <dxf>
      <fill>
        <patternFill patternType="none">
          <bgColor indexed="65"/>
        </patternFill>
      </fill>
    </dxf>
  </rfmt>
  <rfmt sheetId="9" sqref="P159" start="0" length="0">
    <dxf>
      <fill>
        <patternFill patternType="none">
          <bgColor indexed="65"/>
        </patternFill>
      </fill>
    </dxf>
  </rfmt>
  <rfmt sheetId="9" sqref="Q159" start="0" length="0">
    <dxf>
      <fill>
        <patternFill patternType="none">
          <bgColor indexed="65"/>
        </patternFill>
      </fill>
    </dxf>
  </rfmt>
  <rfmt sheetId="9" sqref="R159" start="0" length="0">
    <dxf>
      <fill>
        <patternFill patternType="none">
          <bgColor indexed="65"/>
        </patternFill>
      </fill>
    </dxf>
  </rfmt>
  <rfmt sheetId="9" sqref="S159" start="0" length="0">
    <dxf>
      <fill>
        <patternFill patternType="none">
          <bgColor indexed="65"/>
        </patternFill>
      </fill>
    </dxf>
  </rfmt>
  <rfmt sheetId="9" sqref="T159" start="0" length="0">
    <dxf>
      <fill>
        <patternFill patternType="none">
          <bgColor indexed="65"/>
        </patternFill>
      </fill>
    </dxf>
  </rfmt>
  <rfmt sheetId="9" sqref="O5:T159">
    <dxf>
      <fill>
        <patternFill patternType="solid">
          <bgColor theme="0"/>
        </patternFill>
      </fill>
    </dxf>
  </rfmt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9" sId="9" numFmtId="34">
    <oc r="L31">
      <v>0</v>
    </oc>
    <nc r="L31"/>
  </rcc>
  <rcc rId="770" sId="9" numFmtId="34">
    <oc r="M31">
      <v>0</v>
    </oc>
    <nc r="M31"/>
  </rcc>
  <rcc rId="771" sId="9">
    <oc r="N31">
      <f>'Hist. dane kwartalne'!Z31+'Hist. dane kwartalne'!AA31</f>
    </oc>
    <nc r="N31"/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" sId="8">
    <oc r="AC93">
      <f>AA93</f>
    </oc>
    <nc r="AC93">
      <f>AA93-Bilans!C55-Bilans!C56</f>
    </nc>
  </rcc>
  <rfmt sheetId="8" sqref="AC93">
    <dxf>
      <fill>
        <patternFill>
          <bgColor theme="0"/>
        </patternFill>
      </fill>
    </dxf>
  </rfmt>
  <rcc rId="8" sId="8">
    <oc r="AC95">
      <f>AA95</f>
    </oc>
    <nc r="AC95"/>
  </rcc>
  <rcc rId="9" sId="8">
    <oc r="AC96">
      <f>AA96</f>
    </oc>
    <nc r="AC96">
      <f>AA95+AA96-Bilans!C58-Bilans!C60</f>
    </nc>
  </rcc>
  <rfmt sheetId="8" sqref="AC95:AC96">
    <dxf>
      <fill>
        <patternFill>
          <bgColor theme="0"/>
        </patternFill>
      </fill>
    </dxf>
  </rfmt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2" sId="9" numFmtId="34">
    <oc r="L28">
      <v>0</v>
    </oc>
    <nc r="L28"/>
  </rcc>
  <rcc rId="773" sId="9" numFmtId="34">
    <oc r="M28">
      <v>0</v>
    </oc>
    <nc r="M28"/>
  </rcc>
  <rcc rId="774" sId="9">
    <oc r="N28">
      <f>'Hist. dane kwartalne'!Z28+'Hist. dane kwartalne'!AA28</f>
    </oc>
    <nc r="N28"/>
  </rcc>
  <rcc rId="775" sId="9" numFmtId="34">
    <nc r="N21">
      <v>0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6" sId="8" numFmtId="4">
    <oc r="AA42">
      <f>25066173</f>
    </oc>
    <nc r="AA42">
      <v>25066173</v>
    </nc>
  </rcc>
  <rcc rId="777" sId="8" numFmtId="4">
    <oc r="AA43">
      <f>40156</f>
    </oc>
    <nc r="AA43">
      <v>40156</v>
    </nc>
  </rcc>
  <rcc rId="778" sId="8" numFmtId="4">
    <oc r="AA44">
      <f>1292124</f>
    </oc>
    <nc r="AA44">
      <v>1292124</v>
    </nc>
  </rcc>
  <rcc rId="779" sId="8" numFmtId="4">
    <oc r="AA45">
      <f>462202</f>
    </oc>
    <nc r="AA45">
      <v>462202</v>
    </nc>
  </rcc>
  <rcc rId="780" sId="8" numFmtId="4">
    <oc r="AA46">
      <f>463419</f>
    </oc>
    <nc r="AA46">
      <v>463419</v>
    </nc>
  </rcc>
  <rcc rId="781" sId="8" numFmtId="4">
    <oc r="AA47">
      <f>514318</f>
    </oc>
    <nc r="AA47">
      <v>514318</v>
    </nc>
  </rcc>
  <rcc rId="782" sId="8" numFmtId="4">
    <oc r="AA48">
      <f>65730</f>
    </oc>
    <nc r="AA48">
      <v>65730</v>
    </nc>
  </rcc>
  <rcc rId="783" sId="8" numFmtId="4">
    <oc r="AA49">
      <f>27904122</f>
    </oc>
    <nc r="AA49">
      <v>27904122</v>
    </nc>
  </rcc>
  <rcc rId="784" sId="8" numFmtId="4">
    <oc r="AA51">
      <f>648516</f>
    </oc>
    <nc r="AA51">
      <v>648516</v>
    </nc>
  </rcc>
  <rcc rId="785" sId="8" numFmtId="4">
    <oc r="AA52">
      <f>404983</f>
    </oc>
    <nc r="AA52">
      <v>404983</v>
    </nc>
  </rcc>
  <rcc rId="786" sId="8" numFmtId="4">
    <oc r="AA53">
      <f>27726</f>
    </oc>
    <nc r="AA53">
      <v>27726</v>
    </nc>
  </rcc>
  <rcc rId="787" sId="8" numFmtId="4">
    <oc r="AA54">
      <f>1864857</f>
    </oc>
    <nc r="AA54">
      <v>1864857</v>
    </nc>
  </rcc>
  <rcc rId="788" sId="8" numFmtId="4">
    <oc r="AA55">
      <f>83558</f>
    </oc>
    <nc r="AA55">
      <v>83558</v>
    </nc>
  </rcc>
  <rcc rId="789" sId="8" numFmtId="4">
    <oc r="AA56">
      <f>292654</f>
    </oc>
    <nc r="AA56">
      <v>292654</v>
    </nc>
  </rcc>
  <rcc rId="790" sId="8" numFmtId="4">
    <oc r="AA57">
      <f>422123</f>
    </oc>
    <nc r="AA57">
      <v>422123</v>
    </nc>
  </rcc>
  <rcc rId="791" sId="8" numFmtId="4">
    <oc r="AA58">
      <f>13283</f>
    </oc>
    <nc r="AA58">
      <v>13283</v>
    </nc>
  </rcc>
  <rcc rId="792" sId="8" numFmtId="4">
    <oc r="AA59">
      <f>3757700</f>
    </oc>
    <nc r="AA59">
      <v>3757700</v>
    </nc>
  </rcc>
  <rcc rId="793" sId="8" numFmtId="4">
    <oc r="AA107">
      <f>32675-Z107</f>
    </oc>
    <nc r="AA107">
      <v>-378920</v>
    </nc>
  </rcc>
  <rcc rId="794" sId="8" numFmtId="4">
    <oc r="AA109">
      <f>-59861-Z109</f>
    </oc>
    <nc r="AA109">
      <v>-36826</v>
    </nc>
  </rcc>
  <rcc rId="795" sId="8" numFmtId="4">
    <oc r="AA110">
      <f>821372-Z110</f>
    </oc>
    <nc r="AA110">
      <v>407754</v>
    </nc>
  </rcc>
  <rcc rId="796" sId="8" numFmtId="4">
    <oc r="AA111">
      <f>28369-Z111</f>
    </oc>
    <nc r="AA111">
      <v>30035</v>
    </nc>
  </rcc>
  <rcc rId="797" sId="8" numFmtId="4">
    <oc r="AA112">
      <f>126386-Z112</f>
    </oc>
    <nc r="AA112">
      <v>62132</v>
    </nc>
  </rcc>
  <rcc rId="798" sId="8" numFmtId="4">
    <oc r="AA113">
      <f>898270-215924-Z113</f>
    </oc>
    <nc r="AA113">
      <v>696972</v>
    </nc>
  </rcc>
  <rcc rId="799" sId="8" numFmtId="4">
    <oc r="AA114">
      <f>29916-Z114</f>
    </oc>
    <nc r="AA114">
      <v>115486</v>
    </nc>
  </rcc>
  <rcc rId="800" sId="8" numFmtId="4">
    <oc r="AA115">
      <f>27672-Z115</f>
    </oc>
    <nc r="AA115">
      <v>13441</v>
    </nc>
  </rcc>
  <rcc rId="801" sId="8" numFmtId="4">
    <oc r="AA116">
      <f>-310295-Z116</f>
    </oc>
    <nc r="AA116">
      <v>-191214</v>
    </nc>
  </rcc>
  <rcc rId="802" sId="8" numFmtId="4">
    <oc r="AA117">
      <f>760141-Z117</f>
    </oc>
    <nc r="AA117">
      <v>201972</v>
    </nc>
  </rcc>
  <rcc rId="803" sId="8" numFmtId="4">
    <oc r="AA118">
      <f>11428-Z118</f>
    </oc>
    <nc r="AA118">
      <v>51975</v>
    </nc>
  </rcc>
  <rcc rId="804" sId="8" numFmtId="4">
    <oc r="AA119">
      <f>-512076-Z119</f>
    </oc>
    <nc r="AA119">
      <v>-20064</v>
    </nc>
  </rcc>
  <rcc rId="805" sId="8" numFmtId="4">
    <oc r="AA120">
      <f>-219387-Z120</f>
    </oc>
    <nc r="AA120">
      <v>-681</v>
    </nc>
  </rcc>
  <rcc rId="806" sId="8" numFmtId="4">
    <oc r="AA121">
      <f>-1515-Z121</f>
    </oc>
    <nc r="AA121">
      <v>-425</v>
    </nc>
  </rcc>
  <rcc rId="807" sId="8" numFmtId="4">
    <oc r="AA122">
      <f>SUM(AA107:AA121)</f>
    </oc>
    <nc r="AA122">
      <v>951637</v>
    </nc>
  </rcc>
  <rcc rId="808" sId="8" numFmtId="4">
    <oc r="AA124">
      <f>15403-Z124</f>
    </oc>
    <nc r="AA124">
      <v>9961</v>
    </nc>
  </rcc>
  <rcc rId="809" sId="8" numFmtId="4">
    <oc r="AA125">
      <f>-1769630-Z125</f>
    </oc>
    <nc r="AA125">
      <v>-775694</v>
    </nc>
  </rcc>
  <rcc rId="810" sId="8" numFmtId="4">
    <oc r="AA127">
      <f>11116-Z127+1</f>
    </oc>
    <nc r="AA127">
      <v>10537</v>
    </nc>
  </rcc>
  <rcc rId="811" sId="8" numFmtId="4">
    <oc r="AA129">
      <f>-29534-Z129</f>
    </oc>
    <nc r="AA129">
      <v>-27844</v>
    </nc>
  </rcc>
  <rcc rId="812" sId="8" numFmtId="4">
    <oc r="AA133">
      <f>357-Z133</f>
    </oc>
    <nc r="AA133">
      <v>276</v>
    </nc>
  </rcc>
  <rcc rId="813" sId="8" numFmtId="4">
    <oc r="AA135">
      <f>-7600-Z135</f>
    </oc>
    <nc r="AA135">
      <v>-1600</v>
    </nc>
  </rcc>
  <rcc rId="814" sId="8" numFmtId="4">
    <oc r="AA136">
      <f>-131077</f>
    </oc>
    <nc r="AA136">
      <v>-131077</v>
    </nc>
  </rcc>
  <rcc rId="815" sId="8" numFmtId="4">
    <oc r="AA137">
      <f>SUM(AA124:AA136)</f>
    </oc>
    <nc r="AA137">
      <v>-908849</v>
    </nc>
  </rcc>
  <rcc rId="816" sId="8" numFmtId="4">
    <oc r="AA139">
      <f>-8008-Z139</f>
    </oc>
    <nc r="AA139">
      <v>-3110</v>
    </nc>
  </rcc>
  <rcc rId="817" sId="8" numFmtId="4">
    <oc r="AA140">
      <f>916-Z140</f>
    </oc>
    <nc r="AA140">
      <v>916</v>
    </nc>
  </rcc>
  <rcc rId="818" sId="8" numFmtId="4">
    <oc r="AA141">
      <f>-44724-Z141</f>
    </oc>
    <nc r="AA141">
      <v>-22401</v>
    </nc>
  </rcc>
  <rcc rId="819" sId="8" numFmtId="34">
    <oc r="AA142">
      <f>2860000-Z142</f>
    </oc>
    <nc r="AA142">
      <v>0</v>
    </nc>
  </rcc>
  <rcc rId="820" sId="8" numFmtId="34">
    <oc r="AA143">
      <f>-2250000-Z143</f>
    </oc>
    <nc r="AA143">
      <v>0</v>
    </nc>
  </rcc>
  <rcc rId="821" sId="8" numFmtId="4">
    <oc r="AA146">
      <f>-117339-Z146</f>
    </oc>
    <nc r="AA146">
      <v>-92174</v>
    </nc>
  </rcc>
  <rcc rId="822" sId="8" numFmtId="4">
    <oc r="AA148">
      <f>15138-Z148</f>
    </oc>
    <nc r="AA148">
      <v>147963</v>
    </nc>
  </rcc>
  <rcc rId="823" sId="8" numFmtId="4">
    <oc r="AA149">
      <f>SUM(AA139:AA148)</f>
    </oc>
    <nc r="AA149">
      <v>28670</v>
    </nc>
  </rcc>
  <rcc rId="824" sId="8" numFmtId="4">
    <oc r="AA150">
      <f>-33742-Z150</f>
    </oc>
    <nc r="AA150">
      <v>71458</v>
    </nc>
  </rcc>
  <rcc rId="825" sId="8" numFmtId="4">
    <oc r="AA151">
      <f>879-Z151</f>
    </oc>
    <nc r="AA151">
      <v>-1801</v>
    </nc>
  </rcc>
  <rcc rId="826" sId="8" numFmtId="4">
    <oc r="AA152">
      <f>Z153</f>
    </oc>
    <nc r="AA152">
      <v>222515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O5" start="0" length="0">
    <dxf>
      <numFmt numFmtId="171" formatCode="_-* #,##0&quot;   &quot;;[Red]\(#,##0\)&quot;  &quot;;&quot;-   &quot;"/>
    </dxf>
  </rfmt>
  <rfmt sheetId="9" sqref="O6" start="0" length="0">
    <dxf>
      <numFmt numFmtId="171" formatCode="_-* #,##0&quot;   &quot;;[Red]\(#,##0\)&quot;  &quot;;&quot;-   &quot;"/>
    </dxf>
  </rfmt>
  <rfmt sheetId="9" sqref="O7" start="0" length="0">
    <dxf>
      <numFmt numFmtId="171" formatCode="_-* #,##0&quot;   &quot;;[Red]\(#,##0\)&quot;  &quot;;&quot;-   &quot;"/>
    </dxf>
  </rfmt>
  <rfmt sheetId="9" sqref="O8" start="0" length="0">
    <dxf>
      <numFmt numFmtId="171" formatCode="_-* #,##0&quot;   &quot;;[Red]\(#,##0\)&quot;  &quot;;&quot;-   &quot;"/>
    </dxf>
  </rfmt>
  <rfmt sheetId="9" sqref="O9" start="0" length="0">
    <dxf>
      <numFmt numFmtId="171" formatCode="_-* #,##0&quot;   &quot;;[Red]\(#,##0\)&quot;  &quot;;&quot;-   &quot;"/>
    </dxf>
  </rfmt>
  <rfmt sheetId="9" sqref="O10" start="0" length="0">
    <dxf>
      <numFmt numFmtId="171" formatCode="_-* #,##0&quot;   &quot;;[Red]\(#,##0\)&quot;  &quot;;&quot;-   &quot;"/>
    </dxf>
  </rfmt>
  <rfmt sheetId="9" sqref="O11" start="0" length="0">
    <dxf>
      <numFmt numFmtId="171" formatCode="_-* #,##0&quot;   &quot;;[Red]\(#,##0\)&quot;  &quot;;&quot;-   &quot;"/>
    </dxf>
  </rfmt>
  <rfmt sheetId="9" sqref="O12" start="0" length="0">
    <dxf>
      <numFmt numFmtId="171" formatCode="_-* #,##0&quot;   &quot;;[Red]\(#,##0\)&quot;  &quot;;&quot;-   &quot;"/>
    </dxf>
  </rfmt>
  <rfmt sheetId="9" sqref="O13" start="0" length="0">
    <dxf>
      <numFmt numFmtId="171" formatCode="_-* #,##0&quot;   &quot;;[Red]\(#,##0\)&quot;  &quot;;&quot;-   &quot;"/>
    </dxf>
  </rfmt>
  <rfmt sheetId="9" sqref="O14" start="0" length="0">
    <dxf>
      <numFmt numFmtId="171" formatCode="_-* #,##0&quot;   &quot;;[Red]\(#,##0\)&quot;  &quot;;&quot;-   &quot;"/>
    </dxf>
  </rfmt>
  <rfmt sheetId="9" sqref="O15" start="0" length="0">
    <dxf>
      <numFmt numFmtId="171" formatCode="_-* #,##0&quot;   &quot;;[Red]\(#,##0\)&quot;  &quot;;&quot;-   &quot;"/>
    </dxf>
  </rfmt>
  <rfmt sheetId="9" sqref="O16" start="0" length="0">
    <dxf>
      <numFmt numFmtId="171" formatCode="_-* #,##0&quot;   &quot;;[Red]\(#,##0\)&quot;  &quot;;&quot;-   &quot;"/>
    </dxf>
  </rfmt>
  <rfmt sheetId="9" sqref="O17" start="0" length="0">
    <dxf>
      <numFmt numFmtId="171" formatCode="_-* #,##0&quot;   &quot;;[Red]\(#,##0\)&quot;  &quot;;&quot;-   &quot;"/>
    </dxf>
  </rfmt>
  <rfmt sheetId="9" sqref="O18" start="0" length="0">
    <dxf>
      <numFmt numFmtId="171" formatCode="_-* #,##0&quot;   &quot;;[Red]\(#,##0\)&quot;  &quot;;&quot;-   &quot;"/>
    </dxf>
  </rfmt>
  <rfmt sheetId="9" sqref="O19" start="0" length="0">
    <dxf>
      <numFmt numFmtId="171" formatCode="_-* #,##0&quot;   &quot;;[Red]\(#,##0\)&quot;  &quot;;&quot;-   &quot;"/>
    </dxf>
  </rfmt>
  <rfmt sheetId="9" sqref="O20" start="0" length="0">
    <dxf>
      <numFmt numFmtId="171" formatCode="_-* #,##0&quot;   &quot;;[Red]\(#,##0\)&quot;  &quot;;&quot;-   &quot;"/>
    </dxf>
  </rfmt>
  <rfmt sheetId="9" sqref="O21" start="0" length="0">
    <dxf>
      <numFmt numFmtId="171" formatCode="_-* #,##0&quot;   &quot;;[Red]\(#,##0\)&quot;  &quot;;&quot;-   &quot;"/>
    </dxf>
  </rfmt>
  <rfmt sheetId="9" sqref="O22" start="0" length="0">
    <dxf>
      <numFmt numFmtId="171" formatCode="_-* #,##0&quot;   &quot;;[Red]\(#,##0\)&quot;  &quot;;&quot;-   &quot;"/>
    </dxf>
  </rfmt>
  <rfmt sheetId="9" sqref="O23" start="0" length="0">
    <dxf>
      <numFmt numFmtId="171" formatCode="_-* #,##0&quot;   &quot;;[Red]\(#,##0\)&quot;  &quot;;&quot;-   &quot;"/>
    </dxf>
  </rfmt>
  <rfmt sheetId="9" sqref="O24" start="0" length="0">
    <dxf>
      <numFmt numFmtId="171" formatCode="_-* #,##0&quot;   &quot;;[Red]\(#,##0\)&quot;  &quot;;&quot;-   &quot;"/>
    </dxf>
  </rfmt>
  <rfmt sheetId="9" sqref="O25" start="0" length="0">
    <dxf>
      <numFmt numFmtId="171" formatCode="_-* #,##0&quot;   &quot;;[Red]\(#,##0\)&quot;  &quot;;&quot;-   &quot;"/>
    </dxf>
  </rfmt>
  <rfmt sheetId="9" sqref="O26" start="0" length="0">
    <dxf>
      <numFmt numFmtId="171" formatCode="_-* #,##0&quot;   &quot;;[Red]\(#,##0\)&quot;  &quot;;&quot;-   &quot;"/>
    </dxf>
  </rfmt>
  <rfmt sheetId="9" sqref="O27" start="0" length="0">
    <dxf>
      <numFmt numFmtId="171" formatCode="_-* #,##0&quot;   &quot;;[Red]\(#,##0\)&quot;  &quot;;&quot;-   &quot;"/>
    </dxf>
  </rfmt>
  <rfmt sheetId="9" sqref="O28" start="0" length="0">
    <dxf>
      <numFmt numFmtId="171" formatCode="_-* #,##0&quot;   &quot;;[Red]\(#,##0\)&quot;  &quot;;&quot;-   &quot;"/>
    </dxf>
  </rfmt>
  <rfmt sheetId="9" sqref="O29" start="0" length="0">
    <dxf>
      <numFmt numFmtId="171" formatCode="_-* #,##0&quot;   &quot;;[Red]\(#,##0\)&quot;  &quot;;&quot;-   &quot;"/>
    </dxf>
  </rfmt>
  <rfmt sheetId="9" sqref="O30" start="0" length="0">
    <dxf>
      <numFmt numFmtId="171" formatCode="_-* #,##0&quot;   &quot;;[Red]\(#,##0\)&quot;  &quot;;&quot;-   &quot;"/>
    </dxf>
  </rfmt>
  <rfmt sheetId="9" sqref="O31" start="0" length="0">
    <dxf>
      <numFmt numFmtId="171" formatCode="_-* #,##0&quot;   &quot;;[Red]\(#,##0\)&quot;  &quot;;&quot;-   &quot;"/>
    </dxf>
  </rfmt>
  <rfmt sheetId="9" sqref="O32" start="0" length="0">
    <dxf>
      <numFmt numFmtId="171" formatCode="_-* #,##0&quot;   &quot;;[Red]\(#,##0\)&quot;  &quot;;&quot;-   &quot;"/>
    </dxf>
  </rfmt>
  <rfmt sheetId="9" sqref="O33" start="0" length="0">
    <dxf>
      <numFmt numFmtId="171" formatCode="_-* #,##0&quot;   &quot;;[Red]\(#,##0\)&quot;  &quot;;&quot;-   &quot;"/>
    </dxf>
  </rfmt>
  <rfmt sheetId="9" sqref="O34" start="0" length="0">
    <dxf>
      <numFmt numFmtId="171" formatCode="_-* #,##0&quot;   &quot;;[Red]\(#,##0\)&quot;  &quot;;&quot;-   &quot;"/>
    </dxf>
  </rfmt>
  <rfmt sheetId="9" sqref="O35" start="0" length="0">
    <dxf>
      <numFmt numFmtId="171" formatCode="_-* #,##0&quot;   &quot;;[Red]\(#,##0\)&quot;  &quot;;&quot;-   &quot;"/>
    </dxf>
  </rfmt>
  <rfmt sheetId="9" sqref="O36" start="0" length="0">
    <dxf>
      <numFmt numFmtId="171" formatCode="_-* #,##0&quot;   &quot;;[Red]\(#,##0\)&quot;  &quot;;&quot;-   &quot;"/>
    </dxf>
  </rfmt>
  <rfmt sheetId="9" sqref="O42" start="0" length="0">
    <dxf>
      <numFmt numFmtId="171" formatCode="_-* #,##0&quot;   &quot;;[Red]\(#,##0\)&quot;  &quot;;&quot;-   &quot;"/>
    </dxf>
  </rfmt>
  <rfmt sheetId="9" sqref="O43" start="0" length="0">
    <dxf>
      <numFmt numFmtId="171" formatCode="_-* #,##0&quot;   &quot;;[Red]\(#,##0\)&quot;  &quot;;&quot;-   &quot;"/>
    </dxf>
  </rfmt>
  <rfmt sheetId="9" sqref="O44" start="0" length="0">
    <dxf>
      <numFmt numFmtId="171" formatCode="_-* #,##0&quot;   &quot;;[Red]\(#,##0\)&quot;  &quot;;&quot;-   &quot;"/>
    </dxf>
  </rfmt>
  <rfmt sheetId="9" sqref="O45" start="0" length="0">
    <dxf>
      <numFmt numFmtId="171" formatCode="_-* #,##0&quot;   &quot;;[Red]\(#,##0\)&quot;  &quot;;&quot;-   &quot;"/>
    </dxf>
  </rfmt>
  <rfmt sheetId="9" sqref="O46" start="0" length="0">
    <dxf>
      <numFmt numFmtId="171" formatCode="_-* #,##0&quot;   &quot;;[Red]\(#,##0\)&quot;  &quot;;&quot;-   &quot;"/>
    </dxf>
  </rfmt>
  <rfmt sheetId="9" sqref="O47" start="0" length="0">
    <dxf>
      <numFmt numFmtId="171" formatCode="_-* #,##0&quot;   &quot;;[Red]\(#,##0\)&quot;  &quot;;&quot;-   &quot;"/>
    </dxf>
  </rfmt>
  <rfmt sheetId="9" sqref="O48" start="0" length="0">
    <dxf>
      <numFmt numFmtId="171" formatCode="_-* #,##0&quot;   &quot;;[Red]\(#,##0\)&quot;  &quot;;&quot;-   &quot;"/>
    </dxf>
  </rfmt>
  <rfmt sheetId="9" sqref="O49" start="0" length="0">
    <dxf>
      <numFmt numFmtId="171" formatCode="_-* #,##0&quot;   &quot;;[Red]\(#,##0\)&quot;  &quot;;&quot;-   &quot;"/>
    </dxf>
  </rfmt>
  <rfmt sheetId="9" sqref="O50" start="0" length="0">
    <dxf>
      <numFmt numFmtId="171" formatCode="_-* #,##0&quot;   &quot;;[Red]\(#,##0\)&quot;  &quot;;&quot;-   &quot;"/>
    </dxf>
  </rfmt>
  <rfmt sheetId="9" sqref="O51" start="0" length="0">
    <dxf>
      <numFmt numFmtId="171" formatCode="_-* #,##0&quot;   &quot;;[Red]\(#,##0\)&quot;  &quot;;&quot;-   &quot;"/>
    </dxf>
  </rfmt>
  <rfmt sheetId="9" sqref="O52" start="0" length="0">
    <dxf>
      <numFmt numFmtId="171" formatCode="_-* #,##0&quot;   &quot;;[Red]\(#,##0\)&quot;  &quot;;&quot;-   &quot;"/>
    </dxf>
  </rfmt>
  <rfmt sheetId="9" sqref="O53" start="0" length="0">
    <dxf>
      <numFmt numFmtId="171" formatCode="_-* #,##0&quot;   &quot;;[Red]\(#,##0\)&quot;  &quot;;&quot;-   &quot;"/>
    </dxf>
  </rfmt>
  <rfmt sheetId="9" sqref="O54" start="0" length="0">
    <dxf>
      <numFmt numFmtId="171" formatCode="_-* #,##0&quot;   &quot;;[Red]\(#,##0\)&quot;  &quot;;&quot;-   &quot;"/>
    </dxf>
  </rfmt>
  <rfmt sheetId="9" sqref="O55" start="0" length="0">
    <dxf>
      <numFmt numFmtId="171" formatCode="_-* #,##0&quot;   &quot;;[Red]\(#,##0\)&quot;  &quot;;&quot;-   &quot;"/>
    </dxf>
  </rfmt>
  <rfmt sheetId="9" sqref="O56" start="0" length="0">
    <dxf>
      <numFmt numFmtId="171" formatCode="_-* #,##0&quot;   &quot;;[Red]\(#,##0\)&quot;  &quot;;&quot;-   &quot;"/>
    </dxf>
  </rfmt>
  <rfmt sheetId="9" sqref="O57" start="0" length="0">
    <dxf>
      <numFmt numFmtId="171" formatCode="_-* #,##0&quot;   &quot;;[Red]\(#,##0\)&quot;  &quot;;&quot;-   &quot;"/>
    </dxf>
  </rfmt>
  <rfmt sheetId="9" sqref="O58" start="0" length="0">
    <dxf>
      <numFmt numFmtId="171" formatCode="_-* #,##0&quot;   &quot;;[Red]\(#,##0\)&quot;  &quot;;&quot;-   &quot;"/>
    </dxf>
  </rfmt>
  <rfmt sheetId="9" sqref="O59" start="0" length="0">
    <dxf>
      <numFmt numFmtId="171" formatCode="_-* #,##0&quot;   &quot;;[Red]\(#,##0\)&quot;  &quot;;&quot;-   &quot;"/>
    </dxf>
  </rfmt>
  <rfmt sheetId="9" sqref="O60" start="0" length="0">
    <dxf>
      <numFmt numFmtId="171" formatCode="_-* #,##0&quot;   &quot;;[Red]\(#,##0\)&quot;  &quot;;&quot;-   &quot;"/>
    </dxf>
  </rfmt>
  <rfmt sheetId="9" sqref="O61" start="0" length="0">
    <dxf>
      <numFmt numFmtId="171" formatCode="_-* #,##0&quot;   &quot;;[Red]\(#,##0\)&quot;  &quot;;&quot;-   &quot;"/>
    </dxf>
  </rfmt>
  <rfmt sheetId="9" sqref="O62" start="0" length="0">
    <dxf>
      <numFmt numFmtId="171" formatCode="_-* #,##0&quot;   &quot;;[Red]\(#,##0\)&quot;  &quot;;&quot;-   &quot;"/>
    </dxf>
  </rfmt>
  <rfmt sheetId="9" sqref="O63" start="0" length="0">
    <dxf>
      <numFmt numFmtId="171" formatCode="_-* #,##0&quot;   &quot;;[Red]\(#,##0\)&quot;  &quot;;&quot;-   &quot;"/>
    </dxf>
  </rfmt>
  <rfmt sheetId="9" sqref="O64" start="0" length="0">
    <dxf>
      <numFmt numFmtId="171" formatCode="_-* #,##0&quot;   &quot;;[Red]\(#,##0\)&quot;  &quot;;&quot;-   &quot;"/>
    </dxf>
  </rfmt>
  <rfmt sheetId="9" sqref="O65" start="0" length="0">
    <dxf>
      <numFmt numFmtId="171" formatCode="_-* #,##0&quot;   &quot;;[Red]\(#,##0\)&quot;  &quot;;&quot;-   &quot;"/>
    </dxf>
  </rfmt>
  <rfmt sheetId="9" sqref="O66" start="0" length="0">
    <dxf>
      <numFmt numFmtId="171" formatCode="_-* #,##0&quot;   &quot;;[Red]\(#,##0\)&quot;  &quot;;&quot;-   &quot;"/>
    </dxf>
  </rfmt>
  <rfmt sheetId="9" sqref="O67" start="0" length="0">
    <dxf>
      <numFmt numFmtId="171" formatCode="_-* #,##0&quot;   &quot;;[Red]\(#,##0\)&quot;  &quot;;&quot;-   &quot;"/>
    </dxf>
  </rfmt>
  <rfmt sheetId="9" sqref="O68" start="0" length="0">
    <dxf>
      <numFmt numFmtId="171" formatCode="_-* #,##0&quot;   &quot;;[Red]\(#,##0\)&quot;  &quot;;&quot;-   &quot;"/>
    </dxf>
  </rfmt>
  <rfmt sheetId="9" sqref="O69" start="0" length="0">
    <dxf>
      <numFmt numFmtId="171" formatCode="_-* #,##0&quot;   &quot;;[Red]\(#,##0\)&quot;  &quot;;&quot;-   &quot;"/>
    </dxf>
  </rfmt>
  <rfmt sheetId="9" sqref="O70" start="0" length="0">
    <dxf>
      <numFmt numFmtId="171" formatCode="_-* #,##0&quot;   &quot;;[Red]\(#,##0\)&quot;  &quot;;&quot;-   &quot;"/>
    </dxf>
  </rfmt>
  <rfmt sheetId="9" sqref="O71" start="0" length="0">
    <dxf>
      <numFmt numFmtId="171" formatCode="_-* #,##0&quot;   &quot;;[Red]\(#,##0\)&quot;  &quot;;&quot;-   &quot;"/>
    </dxf>
  </rfmt>
  <rfmt sheetId="9" sqref="O72" start="0" length="0">
    <dxf>
      <numFmt numFmtId="171" formatCode="_-* #,##0&quot;   &quot;;[Red]\(#,##0\)&quot;  &quot;;&quot;-   &quot;"/>
    </dxf>
  </rfmt>
  <rfmt sheetId="9" sqref="O73" start="0" length="0">
    <dxf>
      <numFmt numFmtId="171" formatCode="_-* #,##0&quot;   &quot;;[Red]\(#,##0\)&quot;  &quot;;&quot;-   &quot;"/>
    </dxf>
  </rfmt>
  <rfmt sheetId="9" sqref="O74" start="0" length="0">
    <dxf>
      <numFmt numFmtId="171" formatCode="_-* #,##0&quot;   &quot;;[Red]\(#,##0\)&quot;  &quot;;&quot;-   &quot;"/>
    </dxf>
  </rfmt>
  <rfmt sheetId="9" sqref="O75" start="0" length="0">
    <dxf>
      <numFmt numFmtId="171" formatCode="_-* #,##0&quot;   &quot;;[Red]\(#,##0\)&quot;  &quot;;&quot;-   &quot;"/>
    </dxf>
  </rfmt>
  <rfmt sheetId="9" sqref="O76" start="0" length="0">
    <dxf>
      <numFmt numFmtId="171" formatCode="_-* #,##0&quot;   &quot;;[Red]\(#,##0\)&quot;  &quot;;&quot;-   &quot;"/>
    </dxf>
  </rfmt>
  <rfmt sheetId="9" sqref="O77" start="0" length="0">
    <dxf>
      <numFmt numFmtId="171" formatCode="_-* #,##0&quot;   &quot;;[Red]\(#,##0\)&quot;  &quot;;&quot;-   &quot;"/>
    </dxf>
  </rfmt>
  <rfmt sheetId="9" sqref="O78" start="0" length="0">
    <dxf>
      <numFmt numFmtId="171" formatCode="_-* #,##0&quot;   &quot;;[Red]\(#,##0\)&quot;  &quot;;&quot;-   &quot;"/>
    </dxf>
  </rfmt>
  <rfmt sheetId="9" sqref="O79" start="0" length="0">
    <dxf>
      <numFmt numFmtId="171" formatCode="_-* #,##0&quot;   &quot;;[Red]\(#,##0\)&quot;  &quot;;&quot;-   &quot;"/>
    </dxf>
  </rfmt>
  <rfmt sheetId="9" sqref="O80" start="0" length="0">
    <dxf>
      <numFmt numFmtId="171" formatCode="_-* #,##0&quot;   &quot;;[Red]\(#,##0\)&quot;  &quot;;&quot;-   &quot;"/>
    </dxf>
  </rfmt>
  <rfmt sheetId="9" sqref="O81" start="0" length="0">
    <dxf>
      <numFmt numFmtId="171" formatCode="_-* #,##0&quot;   &quot;;[Red]\(#,##0\)&quot;  &quot;;&quot;-   &quot;"/>
    </dxf>
  </rfmt>
  <rfmt sheetId="9" sqref="O82" start="0" length="0">
    <dxf>
      <numFmt numFmtId="171" formatCode="_-* #,##0&quot;   &quot;;[Red]\(#,##0\)&quot;  &quot;;&quot;-   &quot;"/>
    </dxf>
  </rfmt>
  <rfmt sheetId="9" sqref="O83" start="0" length="0">
    <dxf>
      <numFmt numFmtId="171" formatCode="_-* #,##0&quot;   &quot;;[Red]\(#,##0\)&quot;  &quot;;&quot;-   &quot;"/>
    </dxf>
  </rfmt>
  <rfmt sheetId="9" sqref="O84" start="0" length="0">
    <dxf>
      <numFmt numFmtId="171" formatCode="_-* #,##0&quot;   &quot;;[Red]\(#,##0\)&quot;  &quot;;&quot;-   &quot;"/>
    </dxf>
  </rfmt>
  <rfmt sheetId="9" sqref="O85" start="0" length="0">
    <dxf>
      <numFmt numFmtId="171" formatCode="_-* #,##0&quot;   &quot;;[Red]\(#,##0\)&quot;  &quot;;&quot;-   &quot;"/>
    </dxf>
  </rfmt>
  <rfmt sheetId="9" sqref="O86" start="0" length="0">
    <dxf>
      <numFmt numFmtId="171" formatCode="_-* #,##0&quot;   &quot;;[Red]\(#,##0\)&quot;  &quot;;&quot;-   &quot;"/>
    </dxf>
  </rfmt>
  <rfmt sheetId="9" sqref="O87" start="0" length="0">
    <dxf>
      <numFmt numFmtId="171" formatCode="_-* #,##0&quot;   &quot;;[Red]\(#,##0\)&quot;  &quot;;&quot;-   &quot;"/>
    </dxf>
  </rfmt>
  <rfmt sheetId="9" sqref="O88" start="0" length="0">
    <dxf>
      <numFmt numFmtId="171" formatCode="_-* #,##0&quot;   &quot;;[Red]\(#,##0\)&quot;  &quot;;&quot;-   &quot;"/>
    </dxf>
  </rfmt>
  <rfmt sheetId="9" sqref="O89" start="0" length="0">
    <dxf>
      <numFmt numFmtId="171" formatCode="_-* #,##0&quot;   &quot;;[Red]\(#,##0\)&quot;  &quot;;&quot;-   &quot;"/>
    </dxf>
  </rfmt>
  <rfmt sheetId="9" sqref="O90" start="0" length="0">
    <dxf>
      <numFmt numFmtId="171" formatCode="_-* #,##0&quot;   &quot;;[Red]\(#,##0\)&quot;  &quot;;&quot;-   &quot;"/>
    </dxf>
  </rfmt>
  <rfmt sheetId="9" sqref="O91" start="0" length="0">
    <dxf>
      <numFmt numFmtId="171" formatCode="_-* #,##0&quot;   &quot;;[Red]\(#,##0\)&quot;  &quot;;&quot;-   &quot;"/>
    </dxf>
  </rfmt>
  <rfmt sheetId="9" sqref="O92" start="0" length="0">
    <dxf>
      <numFmt numFmtId="171" formatCode="_-* #,##0&quot;   &quot;;[Red]\(#,##0\)&quot;  &quot;;&quot;-   &quot;"/>
    </dxf>
  </rfmt>
  <rfmt sheetId="9" sqref="O93" start="0" length="0">
    <dxf>
      <numFmt numFmtId="171" formatCode="_-* #,##0&quot;   &quot;;[Red]\(#,##0\)&quot;  &quot;;&quot;-   &quot;"/>
    </dxf>
  </rfmt>
  <rfmt sheetId="9" sqref="O94" start="0" length="0">
    <dxf>
      <numFmt numFmtId="171" formatCode="_-* #,##0&quot;   &quot;;[Red]\(#,##0\)&quot;  &quot;;&quot;-   &quot;"/>
    </dxf>
  </rfmt>
  <rfmt sheetId="9" sqref="O95" start="0" length="0">
    <dxf>
      <numFmt numFmtId="171" formatCode="_-* #,##0&quot;   &quot;;[Red]\(#,##0\)&quot;  &quot;;&quot;-   &quot;"/>
    </dxf>
  </rfmt>
  <rfmt sheetId="9" sqref="O96" start="0" length="0">
    <dxf>
      <numFmt numFmtId="171" formatCode="_-* #,##0&quot;   &quot;;[Red]\(#,##0\)&quot;  &quot;;&quot;-   &quot;"/>
    </dxf>
  </rfmt>
  <rfmt sheetId="9" sqref="O97" start="0" length="0">
    <dxf>
      <numFmt numFmtId="171" formatCode="_-* #,##0&quot;   &quot;;[Red]\(#,##0\)&quot;  &quot;;&quot;-   &quot;"/>
    </dxf>
  </rfmt>
  <rfmt sheetId="9" sqref="O98" start="0" length="0">
    <dxf>
      <numFmt numFmtId="171" formatCode="_-* #,##0&quot;   &quot;;[Red]\(#,##0\)&quot;  &quot;;&quot;-   &quot;"/>
    </dxf>
  </rfmt>
  <rfmt sheetId="9" sqref="O99" start="0" length="0">
    <dxf>
      <numFmt numFmtId="171" formatCode="_-* #,##0&quot;   &quot;;[Red]\(#,##0\)&quot;  &quot;;&quot;-   &quot;"/>
    </dxf>
  </rfmt>
  <rfmt sheetId="9" sqref="O100" start="0" length="0">
    <dxf>
      <numFmt numFmtId="171" formatCode="_-* #,##0&quot;   &quot;;[Red]\(#,##0\)&quot;  &quot;;&quot;-   &quot;"/>
    </dxf>
  </rfmt>
  <rfmt sheetId="9" sqref="O101" start="0" length="0">
    <dxf>
      <numFmt numFmtId="171" formatCode="_-* #,##0&quot;   &quot;;[Red]\(#,##0\)&quot;  &quot;;&quot;-   &quot;"/>
    </dxf>
  </rfmt>
  <rfmt sheetId="9" sqref="O102" start="0" length="0">
    <dxf>
      <numFmt numFmtId="171" formatCode="_-* #,##0&quot;   &quot;;[Red]\(#,##0\)&quot;  &quot;;&quot;-   &quot;"/>
    </dxf>
  </rfmt>
  <rfmt sheetId="9" sqref="O107" start="0" length="0">
    <dxf>
      <numFmt numFmtId="171" formatCode="_-* #,##0&quot;   &quot;;[Red]\(#,##0\)&quot;  &quot;;&quot;-   &quot;"/>
    </dxf>
  </rfmt>
  <rfmt sheetId="9" sqref="O108" start="0" length="0">
    <dxf>
      <numFmt numFmtId="171" formatCode="_-* #,##0&quot;   &quot;;[Red]\(#,##0\)&quot;  &quot;;&quot;-   &quot;"/>
    </dxf>
  </rfmt>
  <rfmt sheetId="9" sqref="O109" start="0" length="0">
    <dxf>
      <numFmt numFmtId="171" formatCode="_-* #,##0&quot;   &quot;;[Red]\(#,##0\)&quot;  &quot;;&quot;-   &quot;"/>
    </dxf>
  </rfmt>
  <rfmt sheetId="9" sqref="O110" start="0" length="0">
    <dxf>
      <numFmt numFmtId="171" formatCode="_-* #,##0&quot;   &quot;;[Red]\(#,##0\)&quot;  &quot;;&quot;-   &quot;"/>
    </dxf>
  </rfmt>
  <rfmt sheetId="9" sqref="O111" start="0" length="0">
    <dxf>
      <numFmt numFmtId="171" formatCode="_-* #,##0&quot;   &quot;;[Red]\(#,##0\)&quot;  &quot;;&quot;-   &quot;"/>
    </dxf>
  </rfmt>
  <rfmt sheetId="9" sqref="O112" start="0" length="0">
    <dxf>
      <numFmt numFmtId="171" formatCode="_-* #,##0&quot;   &quot;;[Red]\(#,##0\)&quot;  &quot;;&quot;-   &quot;"/>
    </dxf>
  </rfmt>
  <rfmt sheetId="9" sqref="O113" start="0" length="0">
    <dxf>
      <numFmt numFmtId="171" formatCode="_-* #,##0&quot;   &quot;;[Red]\(#,##0\)&quot;  &quot;;&quot;-   &quot;"/>
    </dxf>
  </rfmt>
  <rfmt sheetId="9" sqref="O114" start="0" length="0">
    <dxf>
      <numFmt numFmtId="171" formatCode="_-* #,##0&quot;   &quot;;[Red]\(#,##0\)&quot;  &quot;;&quot;-   &quot;"/>
    </dxf>
  </rfmt>
  <rfmt sheetId="9" sqref="O115" start="0" length="0">
    <dxf>
      <numFmt numFmtId="171" formatCode="_-* #,##0&quot;   &quot;;[Red]\(#,##0\)&quot;  &quot;;&quot;-   &quot;"/>
    </dxf>
  </rfmt>
  <rfmt sheetId="9" sqref="O116" start="0" length="0">
    <dxf>
      <numFmt numFmtId="171" formatCode="_-* #,##0&quot;   &quot;;[Red]\(#,##0\)&quot;  &quot;;&quot;-   &quot;"/>
    </dxf>
  </rfmt>
  <rfmt sheetId="9" sqref="O117" start="0" length="0">
    <dxf>
      <numFmt numFmtId="171" formatCode="_-* #,##0&quot;   &quot;;[Red]\(#,##0\)&quot;  &quot;;&quot;-   &quot;"/>
    </dxf>
  </rfmt>
  <rfmt sheetId="9" sqref="O118" start="0" length="0">
    <dxf>
      <numFmt numFmtId="171" formatCode="_-* #,##0&quot;   &quot;;[Red]\(#,##0\)&quot;  &quot;;&quot;-   &quot;"/>
    </dxf>
  </rfmt>
  <rfmt sheetId="9" sqref="O119" start="0" length="0">
    <dxf>
      <numFmt numFmtId="171" formatCode="_-* #,##0&quot;   &quot;;[Red]\(#,##0\)&quot;  &quot;;&quot;-   &quot;"/>
    </dxf>
  </rfmt>
  <rfmt sheetId="9" sqref="O120" start="0" length="0">
    <dxf>
      <numFmt numFmtId="171" formatCode="_-* #,##0&quot;   &quot;;[Red]\(#,##0\)&quot;  &quot;;&quot;-   &quot;"/>
    </dxf>
  </rfmt>
  <rfmt sheetId="9" sqref="O121" start="0" length="0">
    <dxf>
      <numFmt numFmtId="171" formatCode="_-* #,##0&quot;   &quot;;[Red]\(#,##0\)&quot;  &quot;;&quot;-   &quot;"/>
    </dxf>
  </rfmt>
  <rfmt sheetId="9" sqref="O122" start="0" length="0">
    <dxf>
      <numFmt numFmtId="171" formatCode="_-* #,##0&quot;   &quot;;[Red]\(#,##0\)&quot;  &quot;;&quot;-   &quot;"/>
    </dxf>
  </rfmt>
  <rfmt sheetId="9" sqref="O123" start="0" length="0">
    <dxf>
      <numFmt numFmtId="171" formatCode="_-* #,##0&quot;   &quot;;[Red]\(#,##0\)&quot;  &quot;;&quot;-   &quot;"/>
    </dxf>
  </rfmt>
  <rfmt sheetId="9" sqref="O124" start="0" length="0">
    <dxf>
      <numFmt numFmtId="171" formatCode="_-* #,##0&quot;   &quot;;[Red]\(#,##0\)&quot;  &quot;;&quot;-   &quot;"/>
    </dxf>
  </rfmt>
  <rfmt sheetId="9" sqref="O125" start="0" length="0">
    <dxf>
      <numFmt numFmtId="171" formatCode="_-* #,##0&quot;   &quot;;[Red]\(#,##0\)&quot;  &quot;;&quot;-   &quot;"/>
    </dxf>
  </rfmt>
  <rfmt sheetId="9" sqref="O126" start="0" length="0">
    <dxf>
      <numFmt numFmtId="171" formatCode="_-* #,##0&quot;   &quot;;[Red]\(#,##0\)&quot;  &quot;;&quot;-   &quot;"/>
    </dxf>
  </rfmt>
  <rfmt sheetId="9" sqref="O127" start="0" length="0">
    <dxf>
      <numFmt numFmtId="171" formatCode="_-* #,##0&quot;   &quot;;[Red]\(#,##0\)&quot;  &quot;;&quot;-   &quot;"/>
    </dxf>
  </rfmt>
  <rfmt sheetId="9" sqref="O128" start="0" length="0">
    <dxf>
      <numFmt numFmtId="171" formatCode="_-* #,##0&quot;   &quot;;[Red]\(#,##0\)&quot;  &quot;;&quot;-   &quot;"/>
    </dxf>
  </rfmt>
  <rfmt sheetId="9" sqref="O129" start="0" length="0">
    <dxf>
      <numFmt numFmtId="171" formatCode="_-* #,##0&quot;   &quot;;[Red]\(#,##0\)&quot;  &quot;;&quot;-   &quot;"/>
    </dxf>
  </rfmt>
  <rfmt sheetId="9" sqref="O130" start="0" length="0">
    <dxf>
      <numFmt numFmtId="171" formatCode="_-* #,##0&quot;   &quot;;[Red]\(#,##0\)&quot;  &quot;;&quot;-   &quot;"/>
    </dxf>
  </rfmt>
  <rfmt sheetId="9" sqref="O131" start="0" length="0">
    <dxf>
      <numFmt numFmtId="171" formatCode="_-* #,##0&quot;   &quot;;[Red]\(#,##0\)&quot;  &quot;;&quot;-   &quot;"/>
    </dxf>
  </rfmt>
  <rfmt sheetId="9" sqref="O132" start="0" length="0">
    <dxf>
      <numFmt numFmtId="171" formatCode="_-* #,##0&quot;   &quot;;[Red]\(#,##0\)&quot;  &quot;;&quot;-   &quot;"/>
    </dxf>
  </rfmt>
  <rfmt sheetId="9" sqref="O133" start="0" length="0">
    <dxf>
      <numFmt numFmtId="171" formatCode="_-* #,##0&quot;   &quot;;[Red]\(#,##0\)&quot;  &quot;;&quot;-   &quot;"/>
    </dxf>
  </rfmt>
  <rfmt sheetId="9" sqref="O134" start="0" length="0">
    <dxf>
      <numFmt numFmtId="171" formatCode="_-* #,##0&quot;   &quot;;[Red]\(#,##0\)&quot;  &quot;;&quot;-   &quot;"/>
    </dxf>
  </rfmt>
  <rfmt sheetId="9" sqref="O135" start="0" length="0">
    <dxf>
      <numFmt numFmtId="171" formatCode="_-* #,##0&quot;   &quot;;[Red]\(#,##0\)&quot;  &quot;;&quot;-   &quot;"/>
    </dxf>
  </rfmt>
  <rfmt sheetId="9" sqref="O136" start="0" length="0">
    <dxf>
      <numFmt numFmtId="171" formatCode="_-* #,##0&quot;   &quot;;[Red]\(#,##0\)&quot;  &quot;;&quot;-   &quot;"/>
    </dxf>
  </rfmt>
  <rfmt sheetId="9" sqref="O137" start="0" length="0">
    <dxf>
      <numFmt numFmtId="171" formatCode="_-* #,##0&quot;   &quot;;[Red]\(#,##0\)&quot;  &quot;;&quot;-   &quot;"/>
    </dxf>
  </rfmt>
  <rfmt sheetId="9" sqref="O138" start="0" length="0">
    <dxf>
      <numFmt numFmtId="171" formatCode="_-* #,##0&quot;   &quot;;[Red]\(#,##0\)&quot;  &quot;;&quot;-   &quot;"/>
    </dxf>
  </rfmt>
  <rfmt sheetId="9" sqref="O139" start="0" length="0">
    <dxf>
      <numFmt numFmtId="171" formatCode="_-* #,##0&quot;   &quot;;[Red]\(#,##0\)&quot;  &quot;;&quot;-   &quot;"/>
    </dxf>
  </rfmt>
  <rfmt sheetId="9" sqref="O140" start="0" length="0">
    <dxf>
      <numFmt numFmtId="171" formatCode="_-* #,##0&quot;   &quot;;[Red]\(#,##0\)&quot;  &quot;;&quot;-   &quot;"/>
    </dxf>
  </rfmt>
  <rfmt sheetId="9" sqref="O141" start="0" length="0">
    <dxf>
      <numFmt numFmtId="171" formatCode="_-* #,##0&quot;   &quot;;[Red]\(#,##0\)&quot;  &quot;;&quot;-   &quot;"/>
    </dxf>
  </rfmt>
  <rfmt sheetId="9" sqref="O142" start="0" length="0">
    <dxf>
      <numFmt numFmtId="171" formatCode="_-* #,##0&quot;   &quot;;[Red]\(#,##0\)&quot;  &quot;;&quot;-   &quot;"/>
    </dxf>
  </rfmt>
  <rfmt sheetId="9" sqref="O143" start="0" length="0">
    <dxf>
      <numFmt numFmtId="171" formatCode="_-* #,##0&quot;   &quot;;[Red]\(#,##0\)&quot;  &quot;;&quot;-   &quot;"/>
    </dxf>
  </rfmt>
  <rfmt sheetId="9" sqref="O144" start="0" length="0">
    <dxf>
      <numFmt numFmtId="171" formatCode="_-* #,##0&quot;   &quot;;[Red]\(#,##0\)&quot;  &quot;;&quot;-   &quot;"/>
    </dxf>
  </rfmt>
  <rfmt sheetId="9" sqref="O145" start="0" length="0">
    <dxf>
      <numFmt numFmtId="171" formatCode="_-* #,##0&quot;   &quot;;[Red]\(#,##0\)&quot;  &quot;;&quot;-   &quot;"/>
    </dxf>
  </rfmt>
  <rfmt sheetId="9" sqref="O146" start="0" length="0">
    <dxf>
      <numFmt numFmtId="171" formatCode="_-* #,##0&quot;   &quot;;[Red]\(#,##0\)&quot;  &quot;;&quot;-   &quot;"/>
    </dxf>
  </rfmt>
  <rfmt sheetId="9" sqref="O147" start="0" length="0">
    <dxf>
      <numFmt numFmtId="171" formatCode="_-* #,##0&quot;   &quot;;[Red]\(#,##0\)&quot;  &quot;;&quot;-   &quot;"/>
    </dxf>
  </rfmt>
  <rfmt sheetId="9" sqref="O148" start="0" length="0">
    <dxf>
      <numFmt numFmtId="171" formatCode="_-* #,##0&quot;   &quot;;[Red]\(#,##0\)&quot;  &quot;;&quot;-   &quot;"/>
    </dxf>
  </rfmt>
  <rfmt sheetId="9" sqref="O149" start="0" length="0">
    <dxf>
      <numFmt numFmtId="171" formatCode="_-* #,##0&quot;   &quot;;[Red]\(#,##0\)&quot;  &quot;;&quot;-   &quot;"/>
    </dxf>
  </rfmt>
  <rfmt sheetId="9" sqref="O150" start="0" length="0">
    <dxf>
      <numFmt numFmtId="171" formatCode="_-* #,##0&quot;   &quot;;[Red]\(#,##0\)&quot;  &quot;;&quot;-   &quot;"/>
    </dxf>
  </rfmt>
  <rfmt sheetId="9" sqref="O151" start="0" length="0">
    <dxf>
      <numFmt numFmtId="171" formatCode="_-* #,##0&quot;   &quot;;[Red]\(#,##0\)&quot;  &quot;;&quot;-   &quot;"/>
    </dxf>
  </rfmt>
  <rfmt sheetId="9" sqref="O152" start="0" length="0">
    <dxf>
      <numFmt numFmtId="171" formatCode="_-* #,##0&quot;   &quot;;[Red]\(#,##0\)&quot;  &quot;;&quot;-   &quot;"/>
    </dxf>
  </rfmt>
  <rfmt sheetId="9" sqref="O153" start="0" length="0">
    <dxf>
      <numFmt numFmtId="171" formatCode="_-* #,##0&quot;   &quot;;[Red]\(#,##0\)&quot;  &quot;;&quot;-   &quot;"/>
    </dxf>
  </rfmt>
  <rfmt sheetId="9" sqref="O154" start="0" length="0">
    <dxf>
      <numFmt numFmtId="171" formatCode="_-* #,##0&quot;   &quot;;[Red]\(#,##0\)&quot;  &quot;;&quot;-   &quot;"/>
    </dxf>
  </rfmt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AA113">
    <dxf>
      <fill>
        <patternFill>
          <bgColor theme="0"/>
        </patternFill>
      </fill>
    </dxf>
  </rfmt>
  <rfmt sheetId="8" sqref="AA136">
    <dxf>
      <fill>
        <patternFill>
          <bgColor theme="0"/>
        </patternFill>
      </fill>
    </dxf>
  </rfmt>
  <rfmt sheetId="8" sqref="AA148">
    <dxf>
      <fill>
        <patternFill>
          <bgColor theme="0"/>
        </patternFill>
      </fill>
    </dxf>
  </rfmt>
  <rcc rId="827" sId="8" odxf="1" dxf="1" numFmtId="34">
    <oc r="AA144">
      <v>-1</v>
    </oc>
    <nc r="AA144">
      <v>0</v>
    </nc>
    <ndxf>
      <numFmt numFmtId="170" formatCode="_-* #,##0.00&quot;   &quot;;[Red]\(#,##0.00\)&quot;  &quot;;&quot;-   &quot;"/>
      <fill>
        <patternFill>
          <bgColor theme="0"/>
        </patternFill>
      </fill>
    </ndxf>
  </rcc>
  <rfmt sheetId="8" sqref="AA145">
    <dxf>
      <fill>
        <patternFill>
          <bgColor theme="0"/>
        </patternFill>
      </fill>
    </dxf>
  </rfmt>
  <rcc rId="828" sId="8" numFmtId="4">
    <oc r="AA148">
      <v>147963</v>
    </oc>
    <nc r="AA148">
      <v>147962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29" sId="1" ref="C1:F1048576" action="insertCol"/>
  <rfmt sheetId="1" sqref="E1" start="0" length="0">
    <dxf>
      <font>
        <sz val="10"/>
        <color rgb="FF4B4B4B"/>
        <name val="Arial"/>
        <scheme val="none"/>
      </font>
      <alignment horizontal="center" wrapText="1" readingOrder="0"/>
    </dxf>
  </rfmt>
  <rfmt sheetId="1" sqref="D2" start="0" length="0">
    <dxf>
      <font>
        <b/>
        <sz val="10"/>
        <color rgb="FF4B4B4B"/>
        <name val="Arial"/>
        <scheme val="none"/>
      </font>
      <border outline="0">
        <top style="thin">
          <color rgb="FFE2007A"/>
        </top>
      </border>
    </dxf>
  </rfmt>
  <rfmt sheetId="1" s="1" sqref="E2" start="0" length="0">
    <dxf>
      <numFmt numFmtId="3" formatCode="#,##0"/>
      <alignment horizontal="general" vertical="bottom" wrapText="0" readingOrder="0"/>
    </dxf>
  </rfmt>
  <rfmt sheetId="1" sqref="F2" start="0" length="0">
    <dxf>
      <border outline="0">
        <top style="thin">
          <color rgb="FFE2007A"/>
        </top>
      </border>
    </dxf>
  </rfmt>
  <rfmt sheetId="1" s="1" sqref="D3" start="0" length="0">
    <dxf>
      <font>
        <b/>
        <sz val="10"/>
        <color rgb="FF4B4B4B"/>
        <name val="Arial"/>
        <scheme val="none"/>
      </font>
      <numFmt numFmtId="3" formatCode="#,##0"/>
      <alignment horizontal="general" vertical="bottom" readingOrder="0"/>
      <border outline="0">
        <top style="thin">
          <color rgb="FF949494"/>
        </top>
      </border>
    </dxf>
  </rfmt>
  <rfmt sheetId="1" sqref="E3" start="0" length="0">
    <dxf>
      <numFmt numFmtId="3" formatCode="#,##0"/>
      <alignment horizontal="general" vertical="bottom" readingOrder="0"/>
    </dxf>
  </rfmt>
  <rfmt sheetId="1" s="1" sqref="F3" start="0" length="0">
    <dxf>
      <numFmt numFmtId="3" formatCode="#,##0"/>
      <alignment horizontal="general" vertical="bottom" readingOrder="0"/>
      <border outline="0">
        <top style="thin">
          <color rgb="FF949494"/>
        </top>
      </border>
    </dxf>
  </rfmt>
  <rfmt sheetId="1" sqref="D4" start="0" length="0">
    <dxf>
      <font>
        <b/>
        <sz val="10"/>
        <color rgb="FF4B4B4B"/>
        <name val="Arial"/>
        <scheme val="none"/>
      </font>
      <numFmt numFmtId="3" formatCode="#,##0"/>
      <alignment horizontal="general" vertical="bottom" readingOrder="0"/>
    </dxf>
  </rfmt>
  <rfmt sheetId="1" sqref="E4" start="0" length="0">
    <dxf>
      <numFmt numFmtId="3" formatCode="#,##0"/>
      <alignment horizontal="general" vertical="bottom" readingOrder="0"/>
    </dxf>
  </rfmt>
  <rfmt sheetId="1" sqref="F4" start="0" length="0">
    <dxf>
      <numFmt numFmtId="3" formatCode="#,##0"/>
      <alignment horizontal="general" vertical="bottom" readingOrder="0"/>
    </dxf>
  </rfmt>
  <rfmt sheetId="1" sqref="D5" start="0" length="0">
    <dxf>
      <font>
        <b/>
        <sz val="10"/>
        <color rgb="FF4B4B4B"/>
        <name val="Arial"/>
        <scheme val="none"/>
      </font>
      <numFmt numFmtId="3" formatCode="#,##0"/>
      <alignment horizontal="general" vertical="bottom" readingOrder="0"/>
    </dxf>
  </rfmt>
  <rfmt sheetId="1" sqref="E5" start="0" length="0">
    <dxf>
      <numFmt numFmtId="3" formatCode="#,##0"/>
      <alignment horizontal="general" vertical="bottom" readingOrder="0"/>
    </dxf>
  </rfmt>
  <rfmt sheetId="1" sqref="F5" start="0" length="0">
    <dxf>
      <numFmt numFmtId="3" formatCode="#,##0"/>
      <alignment horizontal="general" vertical="bottom" readingOrder="0"/>
    </dxf>
  </rfmt>
  <rfmt sheetId="1" sqref="D6" start="0" length="0">
    <dxf>
      <font>
        <b/>
        <sz val="10"/>
        <color rgb="FF4B4B4B"/>
        <name val="Arial"/>
        <scheme val="none"/>
      </font>
      <numFmt numFmtId="3" formatCode="#,##0"/>
      <alignment horizontal="general" vertical="bottom" readingOrder="0"/>
    </dxf>
  </rfmt>
  <rfmt sheetId="1" sqref="E6" start="0" length="0">
    <dxf>
      <numFmt numFmtId="3" formatCode="#,##0"/>
      <alignment horizontal="general" vertical="bottom" readingOrder="0"/>
    </dxf>
  </rfmt>
  <rfmt sheetId="1" sqref="F6" start="0" length="0">
    <dxf>
      <numFmt numFmtId="3" formatCode="#,##0"/>
      <alignment horizontal="general" vertical="bottom" readingOrder="0"/>
    </dxf>
  </rfmt>
  <rfmt sheetId="1" sqref="D7" start="0" length="0">
    <dxf>
      <font>
        <b/>
        <sz val="10"/>
        <color rgb="FF4B4B4B"/>
        <name val="Arial"/>
        <scheme val="none"/>
      </font>
      <numFmt numFmtId="4" formatCode="#,##0.00"/>
      <alignment horizontal="general" vertical="bottom" readingOrder="0"/>
    </dxf>
  </rfmt>
  <rfmt sheetId="1" s="1" sqref="E7" start="0" length="0">
    <dxf>
      <numFmt numFmtId="165" formatCode="_-* #,##0\ _z_ł_-;\-* #,##0\ _z_ł_-;_-* &quot;-&quot;??\ _z_ł_-;_-@_-"/>
      <alignment horizontal="general" vertical="bottom" readingOrder="0"/>
      <border outline="0">
        <bottom/>
      </border>
    </dxf>
  </rfmt>
  <rfmt sheetId="1" sqref="F7" start="0" length="0">
    <dxf>
      <numFmt numFmtId="4" formatCode="#,##0.00"/>
      <alignment horizontal="general" vertical="bottom" readingOrder="0"/>
    </dxf>
  </rfmt>
  <rfmt sheetId="1" s="1" sqref="E8" start="0" length="0">
    <dxf>
      <numFmt numFmtId="165" formatCode="_-* #,##0\ _z_ł_-;\-* #,##0\ _z_ł_-;_-* &quot;-&quot;??\ _z_ł_-;_-@_-"/>
      <alignment horizontal="general" vertical="bottom" readingOrder="0"/>
    </dxf>
  </rfmt>
  <rfmt sheetId="1" s="1" sqref="E9" start="0" length="0">
    <dxf>
      <numFmt numFmtId="3" formatCode="#,##0"/>
      <alignment horizontal="general" vertical="bottom" readingOrder="0"/>
    </dxf>
  </rfmt>
  <rfmt sheetId="1" s="1" sqref="E10" start="0" length="0">
    <dxf>
      <numFmt numFmtId="4" formatCode="#,##0.00"/>
      <alignment horizontal="general" vertical="bottom" readingOrder="0"/>
    </dxf>
  </rfmt>
  <rfmt sheetId="1" sqref="E11" start="0" length="0">
    <dxf>
      <numFmt numFmtId="3" formatCode="#,##0"/>
      <alignment horizontal="general" vertical="bottom" readingOrder="0"/>
    </dxf>
  </rfmt>
  <rfmt sheetId="1" sqref="E12" start="0" length="0">
    <dxf>
      <numFmt numFmtId="166" formatCode="0.0"/>
      <alignment horizontal="general" vertical="bottom" readingOrder="0"/>
    </dxf>
  </rfmt>
  <rfmt sheetId="1" s="1" sqref="E13" start="0" length="0">
    <dxf>
      <numFmt numFmtId="3" formatCode="#,##0"/>
      <alignment horizontal="general" vertical="bottom" readingOrder="0"/>
    </dxf>
  </rfmt>
  <rfmt sheetId="1" sqref="E14" start="0" length="0">
    <dxf>
      <numFmt numFmtId="4" formatCode="#,##0.00"/>
      <alignment horizontal="general" vertical="bottom" readingOrder="0"/>
    </dxf>
  </rfmt>
  <rfmt sheetId="1" sqref="E15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E16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E17" start="0" length="0">
    <dxf>
      <font>
        <sz val="10"/>
        <color rgb="FF4B4B4B"/>
        <name val="Arial"/>
        <scheme val="none"/>
      </font>
      <alignment horizontal="center" vertical="center" wrapText="1" readingOrder="0"/>
    </dxf>
  </rfmt>
  <rfmt sheetId="1" sqref="D18" start="0" length="0">
    <dxf>
      <font>
        <b/>
        <sz val="10"/>
        <color rgb="FF4B4B4B"/>
        <name val="Arial"/>
        <scheme val="none"/>
      </font>
      <alignment wrapText="1" readingOrder="0"/>
      <border outline="0">
        <top style="thin">
          <color rgb="FFE2007A"/>
        </top>
      </border>
    </dxf>
  </rfmt>
  <rfmt sheetId="1" s="1" sqref="E18" start="0" length="0">
    <dxf>
      <numFmt numFmtId="3" formatCode="#,##0"/>
      <alignment horizontal="general" vertical="bottom" readingOrder="0"/>
    </dxf>
  </rfmt>
  <rfmt sheetId="1" sqref="F18" start="0" length="0">
    <dxf>
      <alignment wrapText="1" readingOrder="0"/>
      <border outline="0">
        <top style="thin">
          <color rgb="FFE2007A"/>
        </top>
      </border>
    </dxf>
  </rfmt>
  <rfmt sheetId="1" sqref="D19" start="0" length="0">
    <dxf>
      <font>
        <b/>
        <sz val="10"/>
        <color rgb="FF4B4B4B"/>
        <name val="Arial"/>
        <scheme val="none"/>
      </font>
      <numFmt numFmtId="2" formatCode="0.00"/>
      <alignment horizontal="general" vertical="bottom" readingOrder="0"/>
      <border outline="0">
        <top style="thin">
          <color rgb="FF949494"/>
        </top>
      </border>
    </dxf>
  </rfmt>
  <rfmt sheetId="1" sqref="E19" start="0" length="0">
    <dxf>
      <numFmt numFmtId="2" formatCode="0.00"/>
      <alignment horizontal="general" vertical="bottom" readingOrder="0"/>
    </dxf>
  </rfmt>
  <rfmt sheetId="1" sqref="F19" start="0" length="0">
    <dxf>
      <numFmt numFmtId="2" formatCode="0.00"/>
      <alignment horizontal="general" vertical="bottom" readingOrder="0"/>
      <border outline="0">
        <top style="thin">
          <color rgb="FF949494"/>
        </top>
      </border>
    </dxf>
  </rfmt>
  <rfmt sheetId="1" sqref="D20" start="0" length="0">
    <dxf>
      <font>
        <b/>
        <sz val="10"/>
        <color rgb="FF4B4B4B"/>
        <name val="Arial"/>
        <scheme val="none"/>
      </font>
      <numFmt numFmtId="2" formatCode="0.00"/>
      <alignment horizontal="general" vertical="bottom" readingOrder="0"/>
    </dxf>
  </rfmt>
  <rfmt sheetId="1" sqref="E20" start="0" length="0">
    <dxf>
      <numFmt numFmtId="4" formatCode="#,##0.00"/>
      <alignment horizontal="general" vertical="bottom" readingOrder="0"/>
    </dxf>
  </rfmt>
  <rfmt sheetId="1" sqref="F20" start="0" length="0">
    <dxf>
      <numFmt numFmtId="2" formatCode="0.00"/>
      <alignment horizontal="general" vertical="bottom" readingOrder="0"/>
    </dxf>
  </rfmt>
  <rfmt sheetId="1" sqref="D21" start="0" length="0">
    <dxf>
      <font>
        <b/>
        <sz val="10"/>
        <color rgb="FF4B4B4B"/>
        <name val="Arial"/>
        <scheme val="none"/>
      </font>
      <numFmt numFmtId="2" formatCode="0.00"/>
      <alignment horizontal="general" vertical="bottom" readingOrder="0"/>
    </dxf>
  </rfmt>
  <rfmt sheetId="1" sqref="E21" start="0" length="0">
    <dxf>
      <numFmt numFmtId="4" formatCode="#,##0.00"/>
      <alignment horizontal="general" vertical="bottom" readingOrder="0"/>
    </dxf>
  </rfmt>
  <rfmt sheetId="1" sqref="F21" start="0" length="0">
    <dxf>
      <numFmt numFmtId="2" formatCode="0.00"/>
      <alignment horizontal="general" vertical="bottom" readingOrder="0"/>
    </dxf>
  </rfmt>
  <rfmt sheetId="1" sqref="D22" start="0" length="0">
    <dxf>
      <font>
        <b/>
        <sz val="10"/>
        <color rgb="FF4B4B4B"/>
        <name val="Arial"/>
        <scheme val="none"/>
      </font>
      <numFmt numFmtId="4" formatCode="#,##0.00"/>
      <alignment horizontal="general" vertical="bottom" readingOrder="0"/>
      <border outline="0">
        <bottom style="thin">
          <color rgb="FF949494"/>
        </bottom>
      </border>
    </dxf>
  </rfmt>
  <rfmt sheetId="1" sqref="E2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F22" start="0" length="0">
    <dxf>
      <numFmt numFmtId="4" formatCode="#,##0.00"/>
      <alignment horizontal="general" vertical="bottom" readingOrder="0"/>
      <border outline="0">
        <bottom style="thin">
          <color rgb="FF949494"/>
        </bottom>
      </border>
    </dxf>
  </rfmt>
  <rcc rId="830" sId="1">
    <nc r="D2" t="inlineStr">
      <is>
        <t>II kwartał 
2016 r.</t>
      </is>
    </nc>
  </rcc>
  <rcc rId="831" sId="1">
    <nc r="F2" t="inlineStr">
      <is>
        <t>II kwartał 
2015 r.</t>
      </is>
    </nc>
  </rcc>
  <rcc rId="832" sId="1">
    <nc r="D18" t="inlineStr">
      <is>
        <t>II kwartał 
2016 r.</t>
      </is>
    </nc>
  </rcc>
  <rcc rId="833" sId="1">
    <nc r="F18" t="inlineStr">
      <is>
        <t>II kwartał 
2015 r.</t>
      </is>
    </nc>
  </rcc>
  <rrc rId="834" sId="1" ref="C1:G1048576" action="insertCol"/>
  <rfmt sheetId="1" sqref="E1" start="0" length="0">
    <dxf>
      <font>
        <sz val="10"/>
        <color rgb="FF4B4B4B"/>
        <name val="Arial"/>
        <scheme val="none"/>
      </font>
      <alignment horizontal="center" wrapText="1" readingOrder="0"/>
    </dxf>
  </rfmt>
  <rfmt sheetId="1" sqref="D2" start="0" length="0">
    <dxf>
      <font>
        <b/>
        <sz val="10"/>
        <color rgb="FF4B4B4B"/>
        <name val="Arial"/>
        <scheme val="none"/>
      </font>
      <border outline="0">
        <top style="thin">
          <color rgb="FFE2007A"/>
        </top>
      </border>
    </dxf>
  </rfmt>
  <rfmt sheetId="1" s="1" sqref="E2" start="0" length="0">
    <dxf>
      <numFmt numFmtId="3" formatCode="#,##0"/>
      <alignment horizontal="general" vertical="bottom" wrapText="0" readingOrder="0"/>
    </dxf>
  </rfmt>
  <rfmt sheetId="1" sqref="F2" start="0" length="0">
    <dxf>
      <border outline="0">
        <top style="thin">
          <color rgb="FFE2007A"/>
        </top>
      </border>
    </dxf>
  </rfmt>
  <rfmt sheetId="1" s="1" sqref="D3" start="0" length="0">
    <dxf>
      <font>
        <b/>
        <sz val="10"/>
        <color rgb="FF4B4B4B"/>
        <name val="Arial"/>
        <scheme val="none"/>
      </font>
      <numFmt numFmtId="3" formatCode="#,##0"/>
      <alignment horizontal="general" vertical="bottom" readingOrder="0"/>
      <border outline="0">
        <top style="thin">
          <color rgb="FF949494"/>
        </top>
      </border>
    </dxf>
  </rfmt>
  <rfmt sheetId="1" sqref="E3" start="0" length="0">
    <dxf>
      <numFmt numFmtId="3" formatCode="#,##0"/>
      <alignment horizontal="general" vertical="bottom" readingOrder="0"/>
    </dxf>
  </rfmt>
  <rfmt sheetId="1" s="1" sqref="F3" start="0" length="0">
    <dxf>
      <numFmt numFmtId="3" formatCode="#,##0"/>
      <alignment horizontal="general" vertical="bottom" readingOrder="0"/>
      <border outline="0">
        <top style="thin">
          <color rgb="FF949494"/>
        </top>
      </border>
    </dxf>
  </rfmt>
  <rfmt sheetId="1" sqref="D4" start="0" length="0">
    <dxf>
      <font>
        <b/>
        <sz val="10"/>
        <color rgb="FF4B4B4B"/>
        <name val="Arial"/>
        <scheme val="none"/>
      </font>
      <numFmt numFmtId="3" formatCode="#,##0"/>
      <alignment horizontal="general" vertical="bottom" readingOrder="0"/>
    </dxf>
  </rfmt>
  <rfmt sheetId="1" sqref="E4" start="0" length="0">
    <dxf>
      <numFmt numFmtId="3" formatCode="#,##0"/>
      <alignment horizontal="general" vertical="bottom" readingOrder="0"/>
    </dxf>
  </rfmt>
  <rfmt sheetId="1" sqref="F4" start="0" length="0">
    <dxf>
      <numFmt numFmtId="3" formatCode="#,##0"/>
      <alignment horizontal="general" vertical="bottom" readingOrder="0"/>
    </dxf>
  </rfmt>
  <rfmt sheetId="1" sqref="D5" start="0" length="0">
    <dxf>
      <font>
        <b/>
        <sz val="10"/>
        <color rgb="FF4B4B4B"/>
        <name val="Arial"/>
        <scheme val="none"/>
      </font>
      <numFmt numFmtId="3" formatCode="#,##0"/>
      <alignment horizontal="general" vertical="bottom" readingOrder="0"/>
    </dxf>
  </rfmt>
  <rfmt sheetId="1" sqref="E5" start="0" length="0">
    <dxf>
      <numFmt numFmtId="3" formatCode="#,##0"/>
      <alignment horizontal="general" vertical="bottom" readingOrder="0"/>
    </dxf>
  </rfmt>
  <rfmt sheetId="1" sqref="F5" start="0" length="0">
    <dxf>
      <numFmt numFmtId="3" formatCode="#,##0"/>
      <alignment horizontal="general" vertical="bottom" readingOrder="0"/>
    </dxf>
  </rfmt>
  <rfmt sheetId="1" sqref="D6" start="0" length="0">
    <dxf>
      <font>
        <b/>
        <sz val="10"/>
        <color rgb="FF4B4B4B"/>
        <name val="Arial"/>
        <scheme val="none"/>
      </font>
      <numFmt numFmtId="3" formatCode="#,##0"/>
      <alignment horizontal="general" vertical="bottom" readingOrder="0"/>
    </dxf>
  </rfmt>
  <rfmt sheetId="1" sqref="E6" start="0" length="0">
    <dxf>
      <numFmt numFmtId="3" formatCode="#,##0"/>
      <alignment horizontal="general" vertical="bottom" readingOrder="0"/>
    </dxf>
  </rfmt>
  <rfmt sheetId="1" sqref="F6" start="0" length="0">
    <dxf>
      <numFmt numFmtId="3" formatCode="#,##0"/>
      <alignment horizontal="general" vertical="bottom" readingOrder="0"/>
    </dxf>
  </rfmt>
  <rfmt sheetId="1" sqref="D7" start="0" length="0">
    <dxf>
      <font>
        <b/>
        <sz val="10"/>
        <color rgb="FF4B4B4B"/>
        <name val="Arial"/>
        <scheme val="none"/>
      </font>
      <numFmt numFmtId="4" formatCode="#,##0.00"/>
      <alignment horizontal="general" vertical="bottom" readingOrder="0"/>
    </dxf>
  </rfmt>
  <rfmt sheetId="1" s="1" sqref="E7" start="0" length="0">
    <dxf>
      <numFmt numFmtId="165" formatCode="_-* #,##0\ _z_ł_-;\-* #,##0\ _z_ł_-;_-* &quot;-&quot;??\ _z_ł_-;_-@_-"/>
      <alignment horizontal="general" vertical="bottom" readingOrder="0"/>
      <border outline="0">
        <bottom/>
      </border>
    </dxf>
  </rfmt>
  <rfmt sheetId="1" sqref="F7" start="0" length="0">
    <dxf>
      <numFmt numFmtId="4" formatCode="#,##0.00"/>
      <alignment horizontal="general" vertical="bottom" readingOrder="0"/>
    </dxf>
  </rfmt>
  <rfmt sheetId="1" s="1" sqref="E8" start="0" length="0">
    <dxf>
      <numFmt numFmtId="165" formatCode="_-* #,##0\ _z_ł_-;\-* #,##0\ _z_ł_-;_-* &quot;-&quot;??\ _z_ł_-;_-@_-"/>
      <alignment horizontal="general" vertical="bottom" readingOrder="0"/>
    </dxf>
  </rfmt>
  <rfmt sheetId="1" s="1" sqref="E9" start="0" length="0">
    <dxf>
      <numFmt numFmtId="3" formatCode="#,##0"/>
      <alignment horizontal="general" vertical="bottom" readingOrder="0"/>
    </dxf>
  </rfmt>
  <rfmt sheetId="1" s="1" sqref="E10" start="0" length="0">
    <dxf>
      <numFmt numFmtId="4" formatCode="#,##0.00"/>
      <alignment horizontal="general" vertical="bottom" readingOrder="0"/>
    </dxf>
  </rfmt>
  <rfmt sheetId="1" sqref="E11" start="0" length="0">
    <dxf>
      <numFmt numFmtId="3" formatCode="#,##0"/>
      <alignment horizontal="general" vertical="bottom" readingOrder="0"/>
    </dxf>
  </rfmt>
  <rfmt sheetId="1" sqref="E12" start="0" length="0">
    <dxf>
      <numFmt numFmtId="166" formatCode="0.0"/>
      <alignment horizontal="general" vertical="bottom" readingOrder="0"/>
    </dxf>
  </rfmt>
  <rfmt sheetId="1" s="1" sqref="E13" start="0" length="0">
    <dxf>
      <numFmt numFmtId="3" formatCode="#,##0"/>
      <alignment horizontal="general" vertical="bottom" readingOrder="0"/>
    </dxf>
  </rfmt>
  <rfmt sheetId="1" sqref="E14" start="0" length="0">
    <dxf>
      <numFmt numFmtId="4" formatCode="#,##0.00"/>
      <alignment horizontal="general" vertical="bottom" readingOrder="0"/>
    </dxf>
  </rfmt>
  <rfmt sheetId="1" sqref="E15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E16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E17" start="0" length="0">
    <dxf>
      <font>
        <sz val="10"/>
        <color rgb="FF4B4B4B"/>
        <name val="Arial"/>
        <scheme val="none"/>
      </font>
      <alignment horizontal="center" vertical="center" wrapText="1" readingOrder="0"/>
    </dxf>
  </rfmt>
  <rfmt sheetId="1" sqref="D18" start="0" length="0">
    <dxf>
      <font>
        <b/>
        <sz val="10"/>
        <color rgb="FF4B4B4B"/>
        <name val="Arial"/>
        <scheme val="none"/>
      </font>
      <alignment wrapText="1" readingOrder="0"/>
      <border outline="0">
        <top style="thin">
          <color rgb="FFE2007A"/>
        </top>
      </border>
    </dxf>
  </rfmt>
  <rfmt sheetId="1" s="1" sqref="E18" start="0" length="0">
    <dxf>
      <numFmt numFmtId="3" formatCode="#,##0"/>
      <alignment horizontal="general" vertical="bottom" readingOrder="0"/>
    </dxf>
  </rfmt>
  <rfmt sheetId="1" sqref="F18" start="0" length="0">
    <dxf>
      <alignment wrapText="1" readingOrder="0"/>
      <border outline="0">
        <top style="thin">
          <color rgb="FFE2007A"/>
        </top>
      </border>
    </dxf>
  </rfmt>
  <rfmt sheetId="1" sqref="D19" start="0" length="0">
    <dxf>
      <font>
        <b/>
        <sz val="10"/>
        <color rgb="FF4B4B4B"/>
        <name val="Arial"/>
        <scheme val="none"/>
      </font>
      <numFmt numFmtId="2" formatCode="0.00"/>
      <alignment horizontal="general" vertical="bottom" readingOrder="0"/>
      <border outline="0">
        <top style="thin">
          <color rgb="FF949494"/>
        </top>
      </border>
    </dxf>
  </rfmt>
  <rfmt sheetId="1" sqref="E19" start="0" length="0">
    <dxf>
      <numFmt numFmtId="2" formatCode="0.00"/>
      <alignment horizontal="general" vertical="bottom" readingOrder="0"/>
    </dxf>
  </rfmt>
  <rfmt sheetId="1" sqref="F19" start="0" length="0">
    <dxf>
      <numFmt numFmtId="2" formatCode="0.00"/>
      <alignment horizontal="general" vertical="bottom" readingOrder="0"/>
      <border outline="0">
        <top style="thin">
          <color rgb="FF949494"/>
        </top>
      </border>
    </dxf>
  </rfmt>
  <rfmt sheetId="1" sqref="D20" start="0" length="0">
    <dxf>
      <font>
        <b/>
        <sz val="10"/>
        <color rgb="FF4B4B4B"/>
        <name val="Arial"/>
        <scheme val="none"/>
      </font>
      <numFmt numFmtId="2" formatCode="0.00"/>
      <alignment horizontal="general" vertical="bottom" readingOrder="0"/>
    </dxf>
  </rfmt>
  <rfmt sheetId="1" sqref="E20" start="0" length="0">
    <dxf>
      <numFmt numFmtId="4" formatCode="#,##0.00"/>
      <alignment horizontal="general" vertical="bottom" readingOrder="0"/>
    </dxf>
  </rfmt>
  <rfmt sheetId="1" sqref="F20" start="0" length="0">
    <dxf>
      <numFmt numFmtId="2" formatCode="0.00"/>
      <alignment horizontal="general" vertical="bottom" readingOrder="0"/>
    </dxf>
  </rfmt>
  <rfmt sheetId="1" sqref="D21" start="0" length="0">
    <dxf>
      <font>
        <b/>
        <sz val="10"/>
        <color rgb="FF4B4B4B"/>
        <name val="Arial"/>
        <scheme val="none"/>
      </font>
      <numFmt numFmtId="2" formatCode="0.00"/>
      <alignment horizontal="general" vertical="bottom" readingOrder="0"/>
    </dxf>
  </rfmt>
  <rfmt sheetId="1" sqref="E21" start="0" length="0">
    <dxf>
      <numFmt numFmtId="4" formatCode="#,##0.00"/>
      <alignment horizontal="general" vertical="bottom" readingOrder="0"/>
    </dxf>
  </rfmt>
  <rfmt sheetId="1" sqref="F21" start="0" length="0">
    <dxf>
      <numFmt numFmtId="2" formatCode="0.00"/>
      <alignment horizontal="general" vertical="bottom" readingOrder="0"/>
    </dxf>
  </rfmt>
  <rfmt sheetId="1" sqref="D22" start="0" length="0">
    <dxf>
      <font>
        <b/>
        <sz val="10"/>
        <color rgb="FF4B4B4B"/>
        <name val="Arial"/>
        <scheme val="none"/>
      </font>
      <numFmt numFmtId="4" formatCode="#,##0.00"/>
      <alignment horizontal="general" vertical="bottom" readingOrder="0"/>
      <border outline="0">
        <bottom style="thin">
          <color rgb="FF949494"/>
        </bottom>
      </border>
    </dxf>
  </rfmt>
  <rfmt sheetId="1" sqref="E2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F22" start="0" length="0">
    <dxf>
      <numFmt numFmtId="4" formatCode="#,##0.00"/>
      <alignment horizontal="general" vertical="bottom" readingOrder="0"/>
      <border outline="0">
        <bottom style="thin">
          <color rgb="FF949494"/>
        </bottom>
      </border>
    </dxf>
  </rfmt>
  <rfmt sheetId="1" sqref="D2" start="0" length="0">
    <dxf>
      <font>
        <b val="0"/>
        <sz val="10"/>
        <color rgb="FF4B4B4B"/>
        <name val="Arial"/>
        <scheme val="none"/>
      </font>
    </dxf>
  </rfmt>
  <rcc rId="835" sId="1">
    <nc r="F2" t="inlineStr">
      <is>
        <t>I półrocze 
2015 r.</t>
      </is>
    </nc>
  </rcc>
  <rcc rId="836" sId="1" odxf="1" dxf="1">
    <nc r="D2" t="inlineStr">
      <is>
        <t>I półrocze 
2016 r.</t>
      </is>
    </nc>
    <ndxf>
      <font>
        <b/>
        <sz val="10"/>
        <color rgb="FF4B4B4B"/>
        <name val="Arial"/>
        <scheme val="none"/>
      </font>
    </ndxf>
  </rcc>
  <rcc rId="837" sId="1">
    <nc r="D18" t="inlineStr">
      <is>
        <t>I półrocze 
2016 r.</t>
      </is>
    </nc>
  </rcc>
  <rcc rId="838" sId="1">
    <nc r="F18" t="inlineStr">
      <is>
        <t>I półrocze 
2015 r.</t>
      </is>
    </nc>
  </rcc>
  <rcv guid="{77EFF5B1-32BE-4080-9902-B97F43099026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9" sId="1">
    <nc r="D3">
      <f>'C:\Users\iwiechecka\Documents\SKONSOLIDOWANE GRUPA\RAPORT IIQ 2016\[Tabele_giełda_Q2_2016_20160811.xlsx]Q2_2016'!$C$53</f>
    </nc>
  </rcc>
  <rcc rId="840" sId="1">
    <nc r="F3">
      <f>'C:\Users\iwiechecka\Documents\SKONSOLIDOWANE GRUPA\RAPORT IIQ 2016\[Tabele_giełda_Q2_2016_20160811.xlsx]Q2_2016'!$E$53</f>
    </nc>
  </rcc>
  <rcc rId="841" sId="1">
    <nc r="D4">
      <f>'C:\Users\iwiechecka\Documents\SKONSOLIDOWANE GRUPA\RAPORT IIQ 2016\[Tabele_giełda_Q2_2016_20160811.xlsx]Q2_2016'!$C$80</f>
    </nc>
  </rcc>
  <rcc rId="842" sId="1">
    <nc r="F4">
      <f>'C:\Users\iwiechecka\Documents\SKONSOLIDOWANE GRUPA\RAPORT IIQ 2016\[Tabele_giełda_Q2_2016_20160811.xlsx]Q2_2016'!$E$80</f>
    </nc>
  </rcc>
  <rcc rId="843" sId="1">
    <nc r="D5">
      <f>'C:\Users\iwiechecka\Documents\SKONSOLIDOWANE GRUPA\RAPORT IIQ 2016\[Tabele_giełda_Q2_2016_20160811.xlsx]Q2_2016'!$C$68</f>
    </nc>
  </rcc>
  <rcc rId="844" sId="1">
    <nc r="F5">
      <f>'C:\Users\iwiechecka\Documents\SKONSOLIDOWANE GRUPA\RAPORT IIQ 2016\[Tabele_giełda_Q2_2016_20160811.xlsx]Q2_2016'!$E$73</f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5" sId="1">
    <nc r="D6">
      <f>'C:\Users\iwiechecka\Documents\SKONSOLIDOWANE GRUPA\RAPORT IIQ 2016\[Tabele_giełda_Q2_2016_20160811.xlsx]Q2_2016'!$C$224</f>
    </nc>
  </rcc>
  <rcc rId="846" sId="1">
    <nc r="F6">
      <f>'C:\Users\iwiechecka\Documents\SKONSOLIDOWANE GRUPA\RAPORT IIQ 2016\[Tabele_giełda_Q2_2016_20160811.xlsx]Q2_2016'!$D$224</f>
    </nc>
  </rcc>
  <rcc rId="847" sId="1">
    <nc r="D7">
      <f>'C:\Users\iwiechecka\Documents\SKONSOLIDOWANE GRUPA\RAPORT IIQ 2016\[Tabele_giełda_Q2_2016_20160811.xlsx]Q2_2016'!$C$44</f>
    </nc>
  </rcc>
  <rcc rId="848" sId="1" numFmtId="4">
    <oc r="D3">
      <f>'C:\Users\iwiechecka\Documents\SKONSOLIDOWANE GRUPA\RAPORT IIQ 2016\[Tabele_giełda_Q2_2016_20160811.xlsx]Q2_2016'!$C$53</f>
    </oc>
    <nc r="D3">
      <v>8942857</v>
    </nc>
  </rcc>
  <rcc rId="849" sId="1" numFmtId="4">
    <oc r="F3">
      <f>'C:\Users\iwiechecka\Documents\SKONSOLIDOWANE GRUPA\RAPORT IIQ 2016\[Tabele_giełda_Q2_2016_20160811.xlsx]Q2_2016'!$E$53</f>
    </oc>
    <nc r="F3">
      <v>9256614</v>
    </nc>
  </rcc>
  <rcc rId="850" sId="1" numFmtId="4">
    <oc r="D4">
      <f>'C:\Users\iwiechecka\Documents\SKONSOLIDOWANE GRUPA\RAPORT IIQ 2016\[Tabele_giełda_Q2_2016_20160811.xlsx]Q2_2016'!$C$80</f>
    </oc>
    <nc r="D4">
      <v>1653406</v>
    </nc>
  </rcc>
  <rcc rId="851" sId="1" numFmtId="4">
    <oc r="F4">
      <f>'C:\Users\iwiechecka\Documents\SKONSOLIDOWANE GRUPA\RAPORT IIQ 2016\[Tabele_giełda_Q2_2016_20160811.xlsx]Q2_2016'!$E$80</f>
    </oc>
    <nc r="F4">
      <v>1907872</v>
    </nc>
  </rcc>
  <rcc rId="852" sId="1" numFmtId="4">
    <oc r="D5">
      <f>'C:\Users\iwiechecka\Documents\SKONSOLIDOWANE GRUPA\RAPORT IIQ 2016\[Tabele_giełda_Q2_2016_20160811.xlsx]Q2_2016'!$C$68</f>
    </oc>
    <nc r="D5">
      <v>4717</v>
    </nc>
  </rcc>
  <rcc rId="853" sId="1" numFmtId="4">
    <oc r="F5">
      <f>'C:\Users\iwiechecka\Documents\SKONSOLIDOWANE GRUPA\RAPORT IIQ 2016\[Tabele_giełda_Q2_2016_20160811.xlsx]Q2_2016'!$E$73</f>
    </oc>
    <nc r="F5">
      <v>718524</v>
    </nc>
  </rcc>
  <rcc rId="854" sId="1" numFmtId="4">
    <oc r="D6">
      <f>'C:\Users\iwiechecka\Documents\SKONSOLIDOWANE GRUPA\RAPORT IIQ 2016\[Tabele_giełda_Q2_2016_20160811.xlsx]Q2_2016'!$C$224</f>
    </oc>
    <nc r="D6">
      <v>1452130</v>
    </nc>
  </rcc>
  <rcc rId="855" sId="1" numFmtId="4">
    <oc r="F6">
      <f>'C:\Users\iwiechecka\Documents\SKONSOLIDOWANE GRUPA\RAPORT IIQ 2016\[Tabele_giełda_Q2_2016_20160811.xlsx]Q2_2016'!$D$224</f>
    </oc>
    <nc r="F6">
      <v>1770727</v>
    </nc>
  </rcc>
  <rcc rId="856" sId="1" numFmtId="4">
    <nc r="F7">
      <v>1.97</v>
    </nc>
  </rcc>
  <rcc rId="857" sId="1" numFmtId="4">
    <oc r="D7">
      <f>'C:\Users\iwiechecka\Documents\SKONSOLIDOWANE GRUPA\RAPORT IIQ 2016\[Tabele_giełda_Q2_2016_20160811.xlsx]Q2_2016'!$C$44</f>
    </oc>
    <nc r="D7">
      <v>2.577</v>
    </nc>
  </rcc>
  <rcc rId="858" sId="1">
    <nc r="I3">
      <f>'C:\Users\iwiechecka\Documents\SKONSOLIDOWANE GRUPA\RAPORT IIQ 2016\[Tabele_giełda_Q2_2016_20160811.xlsx]Q2_2016'!$I$53</f>
    </nc>
  </rcc>
  <rcc rId="859" sId="1">
    <nc r="K3">
      <f>'C:\Users\iwiechecka\Documents\SKONSOLIDOWANE GRUPA\RAPORT IIQ 2016\[Tabele_giełda_Q2_2016_20160811.xlsx]Q2_2016'!$K$53</f>
    </nc>
  </rcc>
  <rcc rId="860" sId="1">
    <nc r="I4">
      <f>'C:\Users\iwiechecka\Documents\SKONSOLIDOWANE GRUPA\RAPORT IIQ 2016\[Tabele_giełda_Q2_2016_20160811.xlsx]Q2_2016'!$I$80</f>
    </nc>
  </rcc>
  <rcc rId="861" sId="1">
    <nc r="K4">
      <f>'C:\Users\iwiechecka\Documents\SKONSOLIDOWANE GRUPA\RAPORT IIQ 2016\[Tabele_giełda_Q2_2016_20160811.xlsx]Q2_2016'!$K$80</f>
    </nc>
  </rcc>
  <rcc rId="862" sId="1">
    <nc r="K5">
      <f>'C:\Users\iwiechecka\Documents\SKONSOLIDOWANE GRUPA\RAPORT IIQ 2016\[Tabele_giełda_Q2_2016_20160811.xlsx]Q2_2016'!$K$73</f>
    </nc>
  </rcc>
  <rcc rId="863" sId="1" odxf="1" dxf="1">
    <nc r="I5">
      <f>'C:\Users\iwiechecka\Documents\SKONSOLIDOWANE GRUPA\RAPORT IIQ 2016\[Tabele_giełda_Q2_2016_20160811.xlsx]Q2_2016'!$I$68</f>
    </nc>
    <ndxf>
      <font>
        <b val="0"/>
        <sz val="10"/>
        <color rgb="FF4B4B4B"/>
        <name val="Arial"/>
        <scheme val="none"/>
      </font>
      <numFmt numFmtId="164" formatCode="#,##0_);[Red]\(#,##0\)"/>
    </ndxf>
  </rcc>
  <rfmt sheetId="1" sqref="I5" start="0" length="2147483647">
    <dxf>
      <font>
        <b/>
      </font>
    </dxf>
  </rfmt>
  <rcc rId="864" sId="1">
    <nc r="I6">
      <f>'C:\Users\iwiechecka\Documents\SKONSOLIDOWANE GRUPA\RAPORT IIQ 2016\[Tabele_giełda_Q2_2016_20160811.xlsx]Q2_2016'!$I$224</f>
    </nc>
  </rcc>
  <rcc rId="865" sId="1">
    <nc r="K6">
      <f>'C:\Users\iwiechecka\Documents\SKONSOLIDOWANE GRUPA\RAPORT IIQ 2016\[Tabele_giełda_Q2_2016_20160811.xlsx]Q2_2016'!$J$224</f>
    </nc>
  </rcc>
  <rcc rId="866" sId="1" numFmtId="4">
    <nc r="I7">
      <v>2.577</v>
    </nc>
  </rcc>
  <rcc rId="867" sId="1" numFmtId="4">
    <nc r="K7">
      <v>1.97</v>
    </nc>
  </rcc>
  <rcc rId="868" sId="1" numFmtId="4">
    <oc r="I3">
      <f>'C:\Users\iwiechecka\Documents\SKONSOLIDOWANE GRUPA\RAPORT IIQ 2016\[Tabele_giełda_Q2_2016_20160811.xlsx]Q2_2016'!$I$53</f>
    </oc>
    <nc r="I3">
      <v>4295822</v>
    </nc>
  </rcc>
  <rcc rId="869" sId="1" numFmtId="4">
    <oc r="K3">
      <f>'C:\Users\iwiechecka\Documents\SKONSOLIDOWANE GRUPA\RAPORT IIQ 2016\[Tabele_giełda_Q2_2016_20160811.xlsx]Q2_2016'!$K$53</f>
    </oc>
    <nc r="K3">
      <v>4466828</v>
    </nc>
  </rcc>
  <rcc rId="870" sId="1" numFmtId="4">
    <oc r="I4">
      <f>'C:\Users\iwiechecka\Documents\SKONSOLIDOWANE GRUPA\RAPORT IIQ 2016\[Tabele_giełda_Q2_2016_20160811.xlsx]Q2_2016'!$I$80</f>
    </oc>
    <nc r="I4">
      <v>780493</v>
    </nc>
  </rcc>
  <rcc rId="871" sId="1" numFmtId="4">
    <oc r="K4">
      <f>'C:\Users\iwiechecka\Documents\SKONSOLIDOWANE GRUPA\RAPORT IIQ 2016\[Tabele_giełda_Q2_2016_20160811.xlsx]Q2_2016'!$K$80</f>
    </oc>
    <nc r="K4">
      <v>892937</v>
    </nc>
  </rcc>
  <rcc rId="872" sId="1" numFmtId="4">
    <oc r="I5">
      <f>'C:\Users\iwiechecka\Documents\SKONSOLIDOWANE GRUPA\RAPORT IIQ 2016\[Tabele_giełda_Q2_2016_20160811.xlsx]Q2_2016'!$I$68</f>
    </oc>
    <nc r="I5">
      <v>-319089</v>
    </nc>
  </rcc>
  <rcc rId="873" sId="1" numFmtId="4">
    <oc r="K5">
      <f>'C:\Users\iwiechecka\Documents\SKONSOLIDOWANE GRUPA\RAPORT IIQ 2016\[Tabele_giełda_Q2_2016_20160811.xlsx]Q2_2016'!$K$73</f>
    </oc>
    <nc r="K5">
      <v>216481</v>
    </nc>
  </rcc>
  <rcc rId="874" sId="1" numFmtId="4">
    <oc r="I6">
      <f>'C:\Users\iwiechecka\Documents\SKONSOLIDOWANE GRUPA\RAPORT IIQ 2016\[Tabele_giełda_Q2_2016_20160811.xlsx]Q2_2016'!$I$224</f>
    </oc>
    <nc r="I6">
      <v>798407</v>
    </nc>
  </rcc>
  <rcc rId="875" sId="1" numFmtId="4">
    <oc r="K6">
      <f>'C:\Users\iwiechecka\Documents\SKONSOLIDOWANE GRUPA\RAPORT IIQ 2016\[Tabele_giełda_Q2_2016_20160811.xlsx]Q2_2016'!$J$224</f>
    </oc>
    <nc r="K6">
      <v>979049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6" sId="1">
    <nc r="D19">
      <f>'C:\Users\iwiechecka\Documents\SKONSOLIDOWANE GRUPA\RAPORT IIQ 2016\[Tabele_giełda_Q2_2016_20160811.xlsx]Q2_2016'!$D$5</f>
    </nc>
  </rcc>
  <rcc rId="877" sId="1">
    <nc r="F19">
      <f>'C:\Users\iwiechecka\Documents\SKONSOLIDOWANE GRUPA\RAPORT IIQ 2016\[Tabele_giełda_Q2_2016_20160811.xlsx]Q2_2016'!$E$5</f>
    </nc>
  </rcc>
  <rcc rId="878" sId="1">
    <nc r="D20">
      <f>'C:\Users\iwiechecka\Documents\SKONSOLIDOWANE GRUPA\RAPORT IIQ 2016\[Tabele_giełda_Q2_2016_20160811.xlsx]Q2_2016'!$D$6</f>
    </nc>
  </rcc>
  <rcc rId="879" sId="1">
    <nc r="F20">
      <f>'C:\Users\iwiechecka\Documents\SKONSOLIDOWANE GRUPA\RAPORT IIQ 2016\[Tabele_giełda_Q2_2016_20160811.xlsx]Q2_2016'!$E$6</f>
    </nc>
  </rcc>
  <rcc rId="880" sId="1">
    <nc r="D21">
      <f>'C:\Users\iwiechecka\Documents\SKONSOLIDOWANE GRUPA\RAPORT IIQ 2016\[Tabele_giełda_Q2_2016_20160811.xlsx]Q2_2016'!$D$12</f>
    </nc>
  </rcc>
  <rcc rId="881" sId="1">
    <nc r="F21">
      <f>'C:\Users\iwiechecka\Documents\SKONSOLIDOWANE GRUPA\RAPORT IIQ 2016\[Tabele_giełda_Q2_2016_20160811.xlsx]Q2_2016'!$E$12</f>
    </nc>
  </rcc>
  <rcc rId="882" sId="1">
    <nc r="D22">
      <f>'C:\Users\iwiechecka\Documents\SKONSOLIDOWANE GRUPA\RAPORT IIQ 2016\[Tabele_giełda_Q2_2016_20160811.xlsx]Q2_2016'!$D$14</f>
    </nc>
  </rcc>
  <rcc rId="883" sId="1">
    <nc r="F22">
      <f>'C:\Users\iwiechecka\Documents\SKONSOLIDOWANE GRUPA\RAPORT IIQ 2016\[Tabele_giełda_Q2_2016_20160811.xlsx]Q2_2016'!$E$14</f>
    </nc>
  </rcc>
  <rcc rId="884" sId="1">
    <nc r="I19">
      <f>'C:\Users\iwiechecka\Documents\SKONSOLIDOWANE GRUPA\RAPORT IIQ 2016\[Tabele_giełda_Q2_2016_20160811.xlsx]Q2_2016'!$I$5</f>
    </nc>
  </rcc>
  <rcc rId="885" sId="1">
    <nc r="I20">
      <f>'C:\Users\iwiechecka\Documents\SKONSOLIDOWANE GRUPA\RAPORT IIQ 2016\[Tabele_giełda_Q2_2016_20160811.xlsx]Q2_2016'!$I$6</f>
    </nc>
  </rcc>
  <rcc rId="886" sId="1">
    <nc r="I21">
      <f>'C:\Users\iwiechecka\Documents\SKONSOLIDOWANE GRUPA\RAPORT IIQ 2016\[Tabele_giełda_Q2_2016_20160811.xlsx]Q2_2016'!$I$12</f>
    </nc>
  </rcc>
  <rcc rId="887" sId="1">
    <nc r="I22">
      <f>'C:\Users\iwiechecka\Documents\SKONSOLIDOWANE GRUPA\RAPORT IIQ 2016\[Tabele_giełda_Q2_2016_20160811.xlsx]Q2_2016'!$I$14</f>
    </nc>
  </rcc>
  <rcc rId="888" sId="1">
    <nc r="K19">
      <f>'C:\Users\iwiechecka\Documents\SKONSOLIDOWANE GRUPA\RAPORT IIQ 2016\[Tabele_giełda_Q2_2016_20160811.xlsx]Q2_2016'!$J$5</f>
    </nc>
  </rcc>
  <rcc rId="889" sId="1">
    <nc r="K20">
      <f>'C:\Users\iwiechecka\Documents\SKONSOLIDOWANE GRUPA\RAPORT IIQ 2016\[Tabele_giełda_Q2_2016_20160811.xlsx]Q2_2016'!$J$6</f>
    </nc>
  </rcc>
  <rcc rId="890" sId="1">
    <nc r="K21">
      <f>'C:\Users\iwiechecka\Documents\SKONSOLIDOWANE GRUPA\RAPORT IIQ 2016\[Tabele_giełda_Q2_2016_20160811.xlsx]Q2_2016'!$J$12</f>
    </nc>
  </rcc>
  <rcc rId="891" sId="1">
    <nc r="K22">
      <f>'C:\Users\iwiechecka\Documents\SKONSOLIDOWANE GRUPA\RAPORT IIQ 2016\[Tabele_giełda_Q2_2016_20160811.xlsx]Q2_2016'!$J$14</f>
    </nc>
  </rcc>
  <rcc rId="892" sId="1" numFmtId="4">
    <oc r="D19">
      <f>'C:\Users\iwiechecka\Documents\SKONSOLIDOWANE GRUPA\RAPORT IIQ 2016\[Tabele_giełda_Q2_2016_20160811.xlsx]Q2_2016'!$D$5</f>
    </oc>
    <nc r="D19">
      <v>2.48</v>
    </nc>
  </rcc>
  <rcc rId="893" sId="1" numFmtId="4">
    <oc r="F19">
      <f>'C:\Users\iwiechecka\Documents\SKONSOLIDOWANE GRUPA\RAPORT IIQ 2016\[Tabele_giełda_Q2_2016_20160811.xlsx]Q2_2016'!$E$5</f>
    </oc>
    <nc r="F19">
      <v>2.0099999999999998</v>
    </nc>
  </rcc>
  <rcc rId="894" sId="1" numFmtId="4">
    <oc r="I19">
      <f>'C:\Users\iwiechecka\Documents\SKONSOLIDOWANE GRUPA\RAPORT IIQ 2016\[Tabele_giełda_Q2_2016_20160811.xlsx]Q2_2016'!$I$5</f>
    </oc>
    <nc r="I19">
      <v>1.27</v>
    </nc>
  </rcc>
  <rcc rId="895" sId="1" numFmtId="4">
    <oc r="K19">
      <f>'C:\Users\iwiechecka\Documents\SKONSOLIDOWANE GRUPA\RAPORT IIQ 2016\[Tabele_giełda_Q2_2016_20160811.xlsx]Q2_2016'!$J$5</f>
    </oc>
    <nc r="K19">
      <v>1.0399999999999998</v>
    </nc>
  </rcc>
  <rcc rId="896" sId="1" numFmtId="4">
    <oc r="D20">
      <f>'C:\Users\iwiechecka\Documents\SKONSOLIDOWANE GRUPA\RAPORT IIQ 2016\[Tabele_giełda_Q2_2016_20160811.xlsx]Q2_2016'!$D$6</f>
    </oc>
    <nc r="D20">
      <v>8.4499999999999993</v>
    </nc>
  </rcc>
  <rcc rId="897" sId="1" numFmtId="4">
    <oc r="F20">
      <f>'C:\Users\iwiechecka\Documents\SKONSOLIDOWANE GRUPA\RAPORT IIQ 2016\[Tabele_giełda_Q2_2016_20160811.xlsx]Q2_2016'!$E$6</f>
    </oc>
    <nc r="F20">
      <v>8.76</v>
    </nc>
  </rcc>
  <rcc rId="898" sId="1" numFmtId="4">
    <oc r="I20">
      <f>'C:\Users\iwiechecka\Documents\SKONSOLIDOWANE GRUPA\RAPORT IIQ 2016\[Tabele_giełda_Q2_2016_20160811.xlsx]Q2_2016'!$I$6</f>
    </oc>
    <nc r="I20">
      <v>4.1399999999999997</v>
    </nc>
  </rcc>
  <rcc rId="899" sId="1" numFmtId="4">
    <oc r="K20">
      <f>'C:\Users\iwiechecka\Documents\SKONSOLIDOWANE GRUPA\RAPORT IIQ 2016\[Tabele_giełda_Q2_2016_20160811.xlsx]Q2_2016'!$J$6</f>
    </oc>
    <nc r="K20">
      <v>4.3599999999999994</v>
    </nc>
  </rcc>
  <rcc rId="900" sId="1" numFmtId="4">
    <oc r="D21">
      <f>'C:\Users\iwiechecka\Documents\SKONSOLIDOWANE GRUPA\RAPORT IIQ 2016\[Tabele_giełda_Q2_2016_20160811.xlsx]Q2_2016'!$D$12</f>
    </oc>
    <nc r="D21">
      <v>24.77</v>
    </nc>
  </rcc>
  <rcc rId="901" sId="1" numFmtId="4">
    <oc r="F21">
      <f>'C:\Users\iwiechecka\Documents\SKONSOLIDOWANE GRUPA\RAPORT IIQ 2016\[Tabele_giełda_Q2_2016_20160811.xlsx]Q2_2016'!$E$12</f>
    </oc>
    <nc r="F21">
      <v>24.59</v>
    </nc>
  </rcc>
  <rcc rId="902" sId="1" numFmtId="4">
    <oc r="I21">
      <f>'C:\Users\iwiechecka\Documents\SKONSOLIDOWANE GRUPA\RAPORT IIQ 2016\[Tabele_giełda_Q2_2016_20160811.xlsx]Q2_2016'!$I$12</f>
    </oc>
    <nc r="I21">
      <v>12.04</v>
    </nc>
  </rcc>
  <rcc rId="903" sId="1" numFmtId="4">
    <oc r="K21">
      <f>'C:\Users\iwiechecka\Documents\SKONSOLIDOWANE GRUPA\RAPORT IIQ 2016\[Tabele_giełda_Q2_2016_20160811.xlsx]Q2_2016'!$J$12</f>
    </oc>
    <nc r="K21">
      <v>12.09</v>
    </nc>
  </rcc>
  <rcc rId="904" sId="1" numFmtId="4">
    <oc r="D22">
      <f>'C:\Users\iwiechecka\Documents\SKONSOLIDOWANE GRUPA\RAPORT IIQ 2016\[Tabele_giełda_Q2_2016_20160811.xlsx]Q2_2016'!$D$14</f>
    </oc>
    <nc r="D22">
      <v>15.58</v>
    </nc>
  </rcc>
  <rcc rId="905" sId="1" numFmtId="4">
    <oc r="F22">
      <f>'C:\Users\iwiechecka\Documents\SKONSOLIDOWANE GRUPA\RAPORT IIQ 2016\[Tabele_giełda_Q2_2016_20160811.xlsx]Q2_2016'!$E$14</f>
    </oc>
    <nc r="F22">
      <v>18.03</v>
    </nc>
  </rcc>
  <rcc rId="906" sId="1" numFmtId="4">
    <oc r="I22">
      <f>'C:\Users\iwiechecka\Documents\SKONSOLIDOWANE GRUPA\RAPORT IIQ 2016\[Tabele_giełda_Q2_2016_20160811.xlsx]Q2_2016'!$I$14</f>
    </oc>
    <nc r="I22">
      <v>7.2100000000000009</v>
    </nc>
  </rcc>
  <rcc rId="907" sId="1" numFmtId="4">
    <oc r="K22">
      <f>'C:\Users\iwiechecka\Documents\SKONSOLIDOWANE GRUPA\RAPORT IIQ 2016\[Tabele_giełda_Q2_2016_20160811.xlsx]Q2_2016'!$J$14</f>
    </oc>
    <nc r="K22">
      <v>8.5820000000000007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08" sId="3" ref="B1:F1048576" action="insertCol"/>
  <rrc rId="909" sId="3" ref="G1:G1048576" action="insertCol"/>
  <rfmt sheetId="3" sqref="G1" start="0" length="0">
    <dxf>
      <font>
        <sz val="11"/>
        <color theme="1"/>
        <name val="Calibri"/>
        <scheme val="minor"/>
      </font>
      <alignment horizontal="general" vertical="bottom" indent="0" readingOrder="0"/>
      <border outline="0">
        <bottom/>
      </border>
    </dxf>
  </rfmt>
  <rfmt sheetId="3" sqref="G2" start="0" length="0">
    <dxf>
      <font>
        <sz val="11"/>
        <color theme="1"/>
        <name val="Calibri"/>
        <scheme val="minor"/>
      </font>
      <alignment vertical="bottom" readingOrder="0"/>
    </dxf>
  </rfmt>
  <rfmt sheetId="3" sqref="G3" start="0" length="0">
    <dxf>
      <font>
        <sz val="11"/>
        <color theme="1"/>
        <name val="Calibri"/>
        <scheme val="minor"/>
      </font>
    </dxf>
  </rfmt>
  <rfmt sheetId="3" sqref="G4" start="0" length="0">
    <dxf>
      <font>
        <sz val="11"/>
        <color theme="1"/>
        <name val="Calibri"/>
        <scheme val="minor"/>
      </font>
    </dxf>
  </rfmt>
  <rfmt sheetId="3" sqref="G5" start="0" length="0">
    <dxf>
      <font>
        <sz val="11"/>
        <color theme="1"/>
        <name val="Calibri"/>
        <scheme val="minor"/>
      </font>
    </dxf>
  </rfmt>
  <rfmt sheetId="3" sqref="G6" start="0" length="0">
    <dxf>
      <font>
        <sz val="11"/>
        <color theme="1"/>
        <name val="Calibri"/>
        <scheme val="minor"/>
      </font>
    </dxf>
  </rfmt>
  <rfmt sheetId="3" sqref="G7" start="0" length="0">
    <dxf>
      <font>
        <sz val="11"/>
        <color theme="1"/>
        <name val="Calibri"/>
        <scheme val="minor"/>
      </font>
    </dxf>
  </rfmt>
  <rfmt sheetId="3" sqref="G10" start="0" length="0">
    <dxf>
      <font>
        <sz val="11"/>
        <color theme="1"/>
        <name val="Calibri"/>
        <scheme val="minor"/>
      </font>
      <alignment vertical="bottom" readingOrder="0"/>
      <border outline="0">
        <top/>
      </border>
    </dxf>
  </rfmt>
  <rfmt sheetId="3" sqref="G11" start="0" length="0">
    <dxf>
      <font>
        <sz val="11"/>
        <color theme="1"/>
        <name val="Calibri"/>
        <scheme val="minor"/>
      </font>
    </dxf>
  </rfmt>
  <rfmt sheetId="3" sqref="G12" start="0" length="0">
    <dxf>
      <font>
        <sz val="11"/>
        <color theme="1"/>
        <name val="Calibri"/>
        <scheme val="minor"/>
      </font>
    </dxf>
  </rfmt>
  <rfmt sheetId="3" sqref="G13" start="0" length="0">
    <dxf>
      <font>
        <sz val="11"/>
        <color theme="1"/>
        <name val="Calibri"/>
        <scheme val="minor"/>
      </font>
    </dxf>
  </rfmt>
  <rfmt sheetId="3" sqref="G14" start="0" length="0">
    <dxf>
      <font>
        <sz val="11"/>
        <color theme="1"/>
        <name val="Calibri"/>
        <scheme val="minor"/>
      </font>
    </dxf>
  </rfmt>
  <rfmt sheetId="3" sqref="G15" start="0" length="0">
    <dxf>
      <font>
        <sz val="11"/>
        <color theme="1"/>
        <name val="Calibri"/>
        <scheme val="minor"/>
      </font>
    </dxf>
  </rfmt>
  <rcc rId="910" sId="3" odxf="1" dxf="1">
    <nc r="B2" t="inlineStr">
      <is>
        <t>Przychody ze sprzedaży 
za I kwartał 2016 r.</t>
      </is>
    </nc>
    <odxf>
      <alignment horizontal="general" wrapText="0" readingOrder="0"/>
      <border outline="0">
        <top/>
        <bottom/>
      </border>
    </odxf>
    <ndxf>
      <alignment horizontal="center" wrapText="1" readingOrder="0"/>
      <border outline="0">
        <top style="thin">
          <color rgb="FFE2007A"/>
        </top>
        <bottom style="thin">
          <color theme="0" tint="-0.499984740745262"/>
        </bottom>
      </border>
    </ndxf>
  </rcc>
  <rcc rId="911" sId="3" odxf="1" dxf="1">
    <nc r="C2" t="inlineStr">
      <is>
        <t>EBITDA 
za I kwartał 2016 r.</t>
      </is>
    </nc>
    <odxf>
      <alignment horizontal="general" wrapText="0" readingOrder="0"/>
      <border outline="0">
        <top/>
        <bottom/>
      </border>
    </odxf>
    <ndxf>
      <alignment horizontal="center" wrapText="1" readingOrder="0"/>
      <border outline="0">
        <top style="thin">
          <color rgb="FFE2007A"/>
        </top>
        <bottom style="thin">
          <color theme="0" tint="-0.499984740745262"/>
        </bottom>
      </border>
    </ndxf>
  </rcc>
  <rcc rId="912" sId="3" odxf="1" dxf="1">
    <nc r="D2" t="inlineStr">
      <is>
        <t>EBIT 
za I kwartał 2016 r.</t>
      </is>
    </nc>
    <odxf>
      <alignment horizontal="general" wrapText="0" readingOrder="0"/>
      <border outline="0">
        <top/>
        <bottom/>
      </border>
    </odxf>
    <ndxf>
      <alignment horizontal="center" wrapText="1" readingOrder="0"/>
      <border outline="0">
        <top style="thin">
          <color rgb="FFE2007A"/>
        </top>
        <bottom style="thin">
          <color theme="0" tint="-0.499984740745262"/>
        </bottom>
      </border>
    </ndxf>
  </rcc>
  <rcc rId="913" sId="3" odxf="1" dxf="1">
    <nc r="E2" t="inlineStr">
      <is>
        <t>Aktywa ogółem 
na dzień 31 marca 2016 r.</t>
      </is>
    </nc>
    <odxf>
      <alignment horizontal="general" wrapText="0" readingOrder="0"/>
      <border outline="0">
        <top/>
        <bottom/>
      </border>
    </odxf>
    <ndxf>
      <alignment horizontal="center" wrapText="1" readingOrder="0"/>
      <border outline="0">
        <top style="thin">
          <color rgb="FFE2007A"/>
        </top>
        <bottom style="thin">
          <color theme="0" tint="-0.499984740745262"/>
        </bottom>
      </border>
    </ndxf>
  </rcc>
  <rfmt sheetId="3" s="1" sqref="B3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C3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D3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E3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B4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C4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D4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E4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B5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C5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D5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E5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B6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C6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D6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E6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B7" start="0" length="0">
    <dxf>
      <font>
        <b/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dxf>
  </rfmt>
  <rfmt sheetId="3" s="1" sqref="C7" start="0" length="0">
    <dxf>
      <font>
        <b/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dxf>
  </rfmt>
  <rfmt sheetId="3" s="1" sqref="D7" start="0" length="0">
    <dxf>
      <font>
        <b/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dxf>
  </rfmt>
  <rfmt sheetId="3" s="1" sqref="E7" start="0" length="0">
    <dxf>
      <font>
        <b/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dxf>
  </rfmt>
  <rcc rId="914" sId="3" odxf="1" dxf="1">
    <nc r="B10" t="inlineStr">
      <is>
        <t>Przychody ze sprzedaży 
za I kwartał 2015 r.</t>
      </is>
    </nc>
    <odxf>
      <alignment horizontal="general" wrapText="0" readingOrder="0"/>
      <border outline="0">
        <bottom/>
      </border>
    </odxf>
    <ndxf>
      <alignment horizontal="center" wrapText="1" readingOrder="0"/>
      <border outline="0">
        <bottom style="thin">
          <color theme="0" tint="-0.499984740745262"/>
        </bottom>
      </border>
    </ndxf>
  </rcc>
  <rcc rId="915" sId="3" odxf="1" dxf="1">
    <nc r="C10" t="inlineStr">
      <is>
        <t>EBITDA 
za I kwartał 2015 r.</t>
      </is>
    </nc>
    <odxf>
      <alignment horizontal="general" wrapText="0" readingOrder="0"/>
      <border outline="0">
        <bottom/>
      </border>
    </odxf>
    <ndxf>
      <alignment horizontal="center" wrapText="1" readingOrder="0"/>
      <border outline="0">
        <bottom style="thin">
          <color theme="0" tint="-0.499984740745262"/>
        </bottom>
      </border>
    </ndxf>
  </rcc>
  <rcc rId="916" sId="3" odxf="1" dxf="1">
    <nc r="D10" t="inlineStr">
      <is>
        <t>EBIT 
za I kwartał 2015 r.</t>
      </is>
    </nc>
    <odxf>
      <alignment horizontal="general" wrapText="0" readingOrder="0"/>
      <border outline="0">
        <bottom/>
      </border>
    </odxf>
    <ndxf>
      <alignment horizontal="center" wrapText="1" readingOrder="0"/>
      <border outline="0">
        <bottom style="thin">
          <color theme="0" tint="-0.499984740745262"/>
        </bottom>
      </border>
    </ndxf>
  </rcc>
  <rcc rId="917" sId="3" odxf="1" dxf="1">
    <nc r="E10" t="inlineStr">
      <is>
        <t>Aktywa ogółem 
na dzień 31 marca 2015 r.</t>
      </is>
    </nc>
    <odxf>
      <alignment horizontal="general" wrapText="0" readingOrder="0"/>
      <border outline="0">
        <bottom/>
      </border>
    </odxf>
    <ndxf>
      <alignment horizontal="center" wrapText="1" readingOrder="0"/>
      <border outline="0">
        <bottom style="thin">
          <color theme="0" tint="-0.499984740745262"/>
        </bottom>
      </border>
    </ndxf>
  </rcc>
  <rfmt sheetId="3" s="1" sqref="B11" start="0" length="0">
    <dxf>
      <numFmt numFmtId="164" formatCode="#,##0_);[Red]\(#,##0\)"/>
    </dxf>
  </rfmt>
  <rfmt sheetId="3" s="1" sqref="C11" start="0" length="0">
    <dxf>
      <numFmt numFmtId="164" formatCode="#,##0_);[Red]\(#,##0\)"/>
    </dxf>
  </rfmt>
  <rfmt sheetId="3" s="1" sqref="D11" start="0" length="0">
    <dxf>
      <numFmt numFmtId="164" formatCode="#,##0_);[Red]\(#,##0\)"/>
    </dxf>
  </rfmt>
  <rfmt sheetId="3" s="1" sqref="E11" start="0" length="0">
    <dxf>
      <numFmt numFmtId="164" formatCode="#,##0_);[Red]\(#,##0\)"/>
    </dxf>
  </rfmt>
  <rfmt sheetId="3" s="1" sqref="B12" start="0" length="0">
    <dxf>
      <numFmt numFmtId="164" formatCode="#,##0_);[Red]\(#,##0\)"/>
    </dxf>
  </rfmt>
  <rfmt sheetId="3" s="1" sqref="C12" start="0" length="0">
    <dxf>
      <numFmt numFmtId="164" formatCode="#,##0_);[Red]\(#,##0\)"/>
    </dxf>
  </rfmt>
  <rfmt sheetId="3" s="1" sqref="D12" start="0" length="0">
    <dxf>
      <numFmt numFmtId="164" formatCode="#,##0_);[Red]\(#,##0\)"/>
    </dxf>
  </rfmt>
  <rfmt sheetId="3" s="1" sqref="E12" start="0" length="0">
    <dxf>
      <numFmt numFmtId="164" formatCode="#,##0_);[Red]\(#,##0\)"/>
    </dxf>
  </rfmt>
  <rfmt sheetId="3" s="1" sqref="B13" start="0" length="0">
    <dxf>
      <numFmt numFmtId="164" formatCode="#,##0_);[Red]\(#,##0\)"/>
    </dxf>
  </rfmt>
  <rfmt sheetId="3" s="1" sqref="C13" start="0" length="0">
    <dxf>
      <numFmt numFmtId="164" formatCode="#,##0_);[Red]\(#,##0\)"/>
    </dxf>
  </rfmt>
  <rfmt sheetId="3" s="1" sqref="D13" start="0" length="0">
    <dxf>
      <numFmt numFmtId="164" formatCode="#,##0_);[Red]\(#,##0\)"/>
    </dxf>
  </rfmt>
  <rfmt sheetId="3" s="1" sqref="E13" start="0" length="0">
    <dxf>
      <numFmt numFmtId="164" formatCode="#,##0_);[Red]\(#,##0\)"/>
    </dxf>
  </rfmt>
  <rfmt sheetId="3" s="1" sqref="B14" start="0" length="0">
    <dxf>
      <numFmt numFmtId="164" formatCode="#,##0_);[Red]\(#,##0\)"/>
    </dxf>
  </rfmt>
  <rfmt sheetId="3" s="1" sqref="C14" start="0" length="0">
    <dxf>
      <numFmt numFmtId="164" formatCode="#,##0_);[Red]\(#,##0\)"/>
    </dxf>
  </rfmt>
  <rfmt sheetId="3" s="1" sqref="D14" start="0" length="0">
    <dxf>
      <numFmt numFmtId="164" formatCode="#,##0_);[Red]\(#,##0\)"/>
    </dxf>
  </rfmt>
  <rfmt sheetId="3" s="1" sqref="E14" start="0" length="0">
    <dxf>
      <numFmt numFmtId="164" formatCode="#,##0_);[Red]\(#,##0\)"/>
    </dxf>
  </rfmt>
  <rfmt sheetId="3" s="1" sqref="B15" start="0" length="0">
    <dxf>
      <numFmt numFmtId="164" formatCode="#,##0_);[Red]\(#,##0\)"/>
      <border outline="0">
        <bottom style="thin">
          <color theme="0" tint="-0.499984740745262"/>
        </bottom>
      </border>
    </dxf>
  </rfmt>
  <rfmt sheetId="3" s="1" sqref="C15" start="0" length="0">
    <dxf>
      <numFmt numFmtId="164" formatCode="#,##0_);[Red]\(#,##0\)"/>
      <border outline="0">
        <bottom style="thin">
          <color theme="0" tint="-0.499984740745262"/>
        </bottom>
      </border>
    </dxf>
  </rfmt>
  <rfmt sheetId="3" s="1" sqref="D15" start="0" length="0">
    <dxf>
      <numFmt numFmtId="164" formatCode="#,##0_);[Red]\(#,##0\)"/>
      <border outline="0">
        <bottom style="thin">
          <color theme="0" tint="-0.499984740745262"/>
        </bottom>
      </border>
    </dxf>
  </rfmt>
  <rfmt sheetId="3" s="1" sqref="E15" start="0" length="0">
    <dxf>
      <numFmt numFmtId="164" formatCode="#,##0_);[Red]\(#,##0\)"/>
      <border outline="0">
        <bottom style="thin">
          <color theme="0" tint="-0.499984740745262"/>
        </bottom>
      </border>
    </dxf>
  </rfmt>
  <rrc rId="918" sId="3" ref="F1:F1048576" action="deleteCol">
    <rfmt sheetId="3" xfDxf="1" sqref="F1:F1048576" start="0" length="0">
      <dxf>
        <fill>
          <patternFill patternType="solid">
            <bgColor theme="0"/>
          </patternFill>
        </fill>
      </dxf>
    </rfmt>
    <rfmt sheetId="3" sqref="F1" start="0" length="0">
      <dxf>
        <font>
          <sz val="16"/>
          <color rgb="FF4B4B4B"/>
          <name val="Arial"/>
          <scheme val="none"/>
        </font>
        <alignment horizontal="left" vertical="center" indent="1" readingOrder="0"/>
        <border outline="0">
          <bottom style="thin">
            <color rgb="FFE2007A"/>
          </bottom>
        </border>
      </dxf>
    </rfmt>
    <rfmt sheetId="3" sqref="F2" start="0" length="0">
      <dxf>
        <font>
          <sz val="10"/>
          <color rgb="FF4B4B4B"/>
          <name val="Arial"/>
          <scheme val="none"/>
        </font>
        <alignment vertical="center" readingOrder="0"/>
      </dxf>
    </rfmt>
    <rfmt sheetId="3" sqref="F3" start="0" length="0">
      <dxf>
        <font>
          <sz val="10"/>
          <color rgb="FF4B4B4B"/>
          <name val="Arial"/>
          <scheme val="none"/>
        </font>
      </dxf>
    </rfmt>
    <rfmt sheetId="3" sqref="F4" start="0" length="0">
      <dxf>
        <font>
          <sz val="10"/>
          <color rgb="FF4B4B4B"/>
          <name val="Arial"/>
          <scheme val="none"/>
        </font>
      </dxf>
    </rfmt>
    <rfmt sheetId="3" sqref="F5" start="0" length="0">
      <dxf>
        <font>
          <sz val="10"/>
          <color rgb="FF4B4B4B"/>
          <name val="Arial"/>
          <scheme val="none"/>
        </font>
      </dxf>
    </rfmt>
    <rfmt sheetId="3" sqref="F6" start="0" length="0">
      <dxf>
        <font>
          <sz val="10"/>
          <color rgb="FF4B4B4B"/>
          <name val="Arial"/>
          <scheme val="none"/>
        </font>
      </dxf>
    </rfmt>
    <rfmt sheetId="3" sqref="F7" start="0" length="0">
      <dxf>
        <font>
          <sz val="10"/>
          <color rgb="FF4B4B4B"/>
          <name val="Arial"/>
          <scheme val="none"/>
        </font>
      </dxf>
    </rfmt>
    <rfmt sheetId="3" sqref="F10" start="0" length="0">
      <dxf>
        <font>
          <sz val="10"/>
          <color rgb="FF4B4B4B"/>
          <name val="Arial"/>
          <scheme val="none"/>
        </font>
        <alignment vertical="center" readingOrder="0"/>
        <border outline="0">
          <top style="thin">
            <color rgb="FFE2007A"/>
          </top>
        </border>
      </dxf>
    </rfmt>
    <rfmt sheetId="3" sqref="F11" start="0" length="0">
      <dxf>
        <font>
          <sz val="10"/>
          <color rgb="FF4B4B4B"/>
          <name val="Arial"/>
          <scheme val="none"/>
        </font>
      </dxf>
    </rfmt>
    <rfmt sheetId="3" sqref="F12" start="0" length="0">
      <dxf>
        <font>
          <sz val="10"/>
          <color rgb="FF4B4B4B"/>
          <name val="Arial"/>
          <scheme val="none"/>
        </font>
      </dxf>
    </rfmt>
    <rfmt sheetId="3" sqref="F13" start="0" length="0">
      <dxf>
        <font>
          <sz val="10"/>
          <color rgb="FF4B4B4B"/>
          <name val="Arial"/>
          <scheme val="none"/>
        </font>
      </dxf>
    </rfmt>
    <rfmt sheetId="3" sqref="F14" start="0" length="0">
      <dxf>
        <font>
          <sz val="10"/>
          <color rgb="FF4B4B4B"/>
          <name val="Arial"/>
          <scheme val="none"/>
        </font>
      </dxf>
    </rfmt>
    <rfmt sheetId="3" sqref="F15" start="0" length="0">
      <dxf>
        <font>
          <sz val="10"/>
          <color rgb="FF4B4B4B"/>
          <name val="Arial"/>
          <scheme val="none"/>
        </font>
      </dxf>
    </rfmt>
  </rrc>
  <rrc rId="919" sId="3" ref="B1:B1048576" action="insertCol"/>
  <rfmt sheetId="3" sqref="B1" start="0" length="0">
    <dxf>
      <font>
        <sz val="11"/>
        <color theme="1"/>
        <name val="Calibri"/>
        <scheme val="minor"/>
      </font>
      <alignment horizontal="general" vertical="bottom" indent="0" readingOrder="0"/>
      <border outline="0">
        <bottom/>
      </border>
    </dxf>
  </rfmt>
  <rfmt sheetId="3" sqref="B2" start="0" length="0">
    <dxf>
      <font>
        <sz val="11"/>
        <color theme="1"/>
        <name val="Calibri"/>
        <scheme val="minor"/>
      </font>
      <alignment vertical="bottom" readingOrder="0"/>
    </dxf>
  </rfmt>
  <rfmt sheetId="3" sqref="B3" start="0" length="0">
    <dxf>
      <font>
        <sz val="11"/>
        <color theme="1"/>
        <name val="Calibri"/>
        <scheme val="minor"/>
      </font>
    </dxf>
  </rfmt>
  <rfmt sheetId="3" sqref="B4" start="0" length="0">
    <dxf>
      <font>
        <sz val="11"/>
        <color theme="1"/>
        <name val="Calibri"/>
        <scheme val="minor"/>
      </font>
    </dxf>
  </rfmt>
  <rfmt sheetId="3" sqref="B5" start="0" length="0">
    <dxf>
      <font>
        <sz val="11"/>
        <color theme="1"/>
        <name val="Calibri"/>
        <scheme val="minor"/>
      </font>
    </dxf>
  </rfmt>
  <rfmt sheetId="3" sqref="B6" start="0" length="0">
    <dxf>
      <font>
        <sz val="11"/>
        <color theme="1"/>
        <name val="Calibri"/>
        <scheme val="minor"/>
      </font>
    </dxf>
  </rfmt>
  <rfmt sheetId="3" sqref="B7" start="0" length="0">
    <dxf>
      <font>
        <sz val="11"/>
        <color theme="1"/>
        <name val="Calibri"/>
        <scheme val="minor"/>
      </font>
    </dxf>
  </rfmt>
  <rfmt sheetId="3" sqref="B10" start="0" length="0">
    <dxf>
      <font>
        <sz val="11"/>
        <color theme="1"/>
        <name val="Calibri"/>
        <scheme val="minor"/>
      </font>
      <alignment vertical="bottom" readingOrder="0"/>
      <border outline="0">
        <top/>
      </border>
    </dxf>
  </rfmt>
  <rfmt sheetId="3" sqref="B11" start="0" length="0">
    <dxf>
      <font>
        <sz val="11"/>
        <color theme="1"/>
        <name val="Calibri"/>
        <scheme val="minor"/>
      </font>
    </dxf>
  </rfmt>
  <rfmt sheetId="3" sqref="B12" start="0" length="0">
    <dxf>
      <font>
        <sz val="11"/>
        <color theme="1"/>
        <name val="Calibri"/>
        <scheme val="minor"/>
      </font>
    </dxf>
  </rfmt>
  <rfmt sheetId="3" sqref="B13" start="0" length="0">
    <dxf>
      <font>
        <sz val="11"/>
        <color theme="1"/>
        <name val="Calibri"/>
        <scheme val="minor"/>
      </font>
    </dxf>
  </rfmt>
  <rfmt sheetId="3" sqref="B14" start="0" length="0">
    <dxf>
      <font>
        <sz val="11"/>
        <color theme="1"/>
        <name val="Calibri"/>
        <scheme val="minor"/>
      </font>
    </dxf>
  </rfmt>
  <rfmt sheetId="3" sqref="B15" start="0" length="0">
    <dxf>
      <font>
        <sz val="11"/>
        <color theme="1"/>
        <name val="Calibri"/>
        <scheme val="minor"/>
      </font>
    </dxf>
  </rfmt>
  <rrc rId="920" sId="3" ref="B1:G1048576" action="insertCol"/>
  <rfmt sheetId="3" sqref="B1" start="0" length="0">
    <dxf>
      <font>
        <sz val="11"/>
        <color theme="1"/>
        <name val="Calibri"/>
        <scheme val="minor"/>
      </font>
      <alignment horizontal="general" vertical="bottom" indent="0" readingOrder="0"/>
    </dxf>
  </rfmt>
  <rfmt sheetId="3" sqref="B2" start="0" length="0">
    <dxf>
      <font>
        <sz val="11"/>
        <color theme="1"/>
        <name val="Calibri"/>
        <scheme val="minor"/>
      </font>
      <alignment vertical="bottom" readingOrder="0"/>
    </dxf>
  </rfmt>
  <rfmt sheetId="3" sqref="B3" start="0" length="0">
    <dxf>
      <font>
        <sz val="11"/>
        <color theme="1"/>
        <name val="Calibri"/>
        <scheme val="minor"/>
      </font>
    </dxf>
  </rfmt>
  <rfmt sheetId="3" sqref="B4" start="0" length="0">
    <dxf>
      <font>
        <sz val="11"/>
        <color theme="1"/>
        <name val="Calibri"/>
        <scheme val="minor"/>
      </font>
    </dxf>
  </rfmt>
  <rfmt sheetId="3" sqref="B5" start="0" length="0">
    <dxf>
      <font>
        <sz val="11"/>
        <color theme="1"/>
        <name val="Calibri"/>
        <scheme val="minor"/>
      </font>
    </dxf>
  </rfmt>
  <rfmt sheetId="3" sqref="B6" start="0" length="0">
    <dxf>
      <font>
        <sz val="11"/>
        <color theme="1"/>
        <name val="Calibri"/>
        <scheme val="minor"/>
      </font>
    </dxf>
  </rfmt>
  <rfmt sheetId="3" sqref="B7" start="0" length="0">
    <dxf>
      <font>
        <sz val="11"/>
        <color theme="1"/>
        <name val="Calibri"/>
        <scheme val="minor"/>
      </font>
    </dxf>
  </rfmt>
  <rfmt sheetId="3" sqref="B10" start="0" length="0">
    <dxf>
      <font>
        <sz val="11"/>
        <color theme="1"/>
        <name val="Calibri"/>
        <scheme val="minor"/>
      </font>
      <alignment vertical="bottom" readingOrder="0"/>
    </dxf>
  </rfmt>
  <rfmt sheetId="3" sqref="B11" start="0" length="0">
    <dxf>
      <font>
        <sz val="11"/>
        <color theme="1"/>
        <name val="Calibri"/>
        <scheme val="minor"/>
      </font>
    </dxf>
  </rfmt>
  <rfmt sheetId="3" sqref="B12" start="0" length="0">
    <dxf>
      <font>
        <sz val="11"/>
        <color theme="1"/>
        <name val="Calibri"/>
        <scheme val="minor"/>
      </font>
    </dxf>
  </rfmt>
  <rfmt sheetId="3" sqref="B13" start="0" length="0">
    <dxf>
      <font>
        <sz val="11"/>
        <color theme="1"/>
        <name val="Calibri"/>
        <scheme val="minor"/>
      </font>
    </dxf>
  </rfmt>
  <rfmt sheetId="3" sqref="B14" start="0" length="0">
    <dxf>
      <font>
        <sz val="11"/>
        <color theme="1"/>
        <name val="Calibri"/>
        <scheme val="minor"/>
      </font>
    </dxf>
  </rfmt>
  <rfmt sheetId="3" sqref="B15" start="0" length="0">
    <dxf>
      <font>
        <sz val="11"/>
        <color theme="1"/>
        <name val="Calibri"/>
        <scheme val="minor"/>
      </font>
    </dxf>
  </rfmt>
  <rcc rId="921" sId="3" odxf="1" dxf="1">
    <nc r="C2" t="inlineStr">
      <is>
        <t>Przychody ze sprzedaży 
za I kwartał 2016 r.</t>
      </is>
    </nc>
    <odxf>
      <alignment horizontal="general" wrapText="0" readingOrder="0"/>
      <border outline="0">
        <top/>
        <bottom/>
      </border>
    </odxf>
    <ndxf>
      <alignment horizontal="center" wrapText="1" readingOrder="0"/>
      <border outline="0">
        <top style="thin">
          <color rgb="FFE2007A"/>
        </top>
        <bottom style="thin">
          <color theme="0" tint="-0.499984740745262"/>
        </bottom>
      </border>
    </ndxf>
  </rcc>
  <rcc rId="922" sId="3" odxf="1" dxf="1">
    <nc r="D2" t="inlineStr">
      <is>
        <t>EBITDA 
za I kwartał 2016 r.</t>
      </is>
    </nc>
    <odxf>
      <alignment horizontal="general" wrapText="0" readingOrder="0"/>
      <border outline="0">
        <top/>
        <bottom/>
      </border>
    </odxf>
    <ndxf>
      <alignment horizontal="center" wrapText="1" readingOrder="0"/>
      <border outline="0">
        <top style="thin">
          <color rgb="FFE2007A"/>
        </top>
        <bottom style="thin">
          <color theme="0" tint="-0.499984740745262"/>
        </bottom>
      </border>
    </ndxf>
  </rcc>
  <rcc rId="923" sId="3" odxf="1" dxf="1">
    <nc r="E2" t="inlineStr">
      <is>
        <t>EBIT 
za I kwartał 2016 r.</t>
      </is>
    </nc>
    <odxf>
      <alignment horizontal="general" wrapText="0" readingOrder="0"/>
      <border outline="0">
        <top/>
        <bottom/>
      </border>
    </odxf>
    <ndxf>
      <alignment horizontal="center" wrapText="1" readingOrder="0"/>
      <border outline="0">
        <top style="thin">
          <color rgb="FFE2007A"/>
        </top>
        <bottom style="thin">
          <color theme="0" tint="-0.499984740745262"/>
        </bottom>
      </border>
    </ndxf>
  </rcc>
  <rcc rId="924" sId="3" odxf="1" dxf="1">
    <nc r="F2" t="inlineStr">
      <is>
        <t>Aktywa ogółem 
na dzień 31 marca 2016 r.</t>
      </is>
    </nc>
    <odxf>
      <alignment horizontal="general" wrapText="0" readingOrder="0"/>
      <border outline="0">
        <top/>
        <bottom/>
      </border>
    </odxf>
    <ndxf>
      <alignment horizontal="center" wrapText="1" readingOrder="0"/>
      <border outline="0">
        <top style="thin">
          <color rgb="FFE2007A"/>
        </top>
        <bottom style="thin">
          <color theme="0" tint="-0.499984740745262"/>
        </bottom>
      </border>
    </ndxf>
  </rcc>
  <rfmt sheetId="3" s="1" sqref="C3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D3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E3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F3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C4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D4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E4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F4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C5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D5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E5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F5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C6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D6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E6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F6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3" s="1" sqref="C7" start="0" length="0">
    <dxf>
      <font>
        <b/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dxf>
  </rfmt>
  <rfmt sheetId="3" s="1" sqref="D7" start="0" length="0">
    <dxf>
      <font>
        <b/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dxf>
  </rfmt>
  <rfmt sheetId="3" s="1" sqref="E7" start="0" length="0">
    <dxf>
      <font>
        <b/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dxf>
  </rfmt>
  <rfmt sheetId="3" s="1" sqref="F7" start="0" length="0">
    <dxf>
      <font>
        <b/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dxf>
  </rfmt>
  <rcc rId="925" sId="3" odxf="1" dxf="1">
    <nc r="C10" t="inlineStr">
      <is>
        <t>Przychody ze sprzedaży 
za I kwartał 2015 r.</t>
      </is>
    </nc>
    <odxf>
      <alignment horizontal="general" wrapText="0" readingOrder="0"/>
      <border outline="0">
        <top/>
        <bottom/>
      </border>
    </odxf>
    <ndxf>
      <alignment horizontal="center" wrapText="1" readingOrder="0"/>
      <border outline="0">
        <top style="thin">
          <color rgb="FFE2007A"/>
        </top>
        <bottom style="thin">
          <color theme="0" tint="-0.499984740745262"/>
        </bottom>
      </border>
    </ndxf>
  </rcc>
  <rcc rId="926" sId="3" odxf="1" dxf="1">
    <nc r="D10" t="inlineStr">
      <is>
        <t>EBITDA 
za I kwartał 2015 r.</t>
      </is>
    </nc>
    <odxf>
      <alignment horizontal="general" wrapText="0" readingOrder="0"/>
      <border outline="0">
        <top/>
        <bottom/>
      </border>
    </odxf>
    <ndxf>
      <alignment horizontal="center" wrapText="1" readingOrder="0"/>
      <border outline="0">
        <top style="thin">
          <color rgb="FFE2007A"/>
        </top>
        <bottom style="thin">
          <color theme="0" tint="-0.499984740745262"/>
        </bottom>
      </border>
    </ndxf>
  </rcc>
  <rcc rId="927" sId="3" odxf="1" dxf="1">
    <nc r="E10" t="inlineStr">
      <is>
        <t>EBIT 
za I kwartał 2015 r.</t>
      </is>
    </nc>
    <odxf>
      <alignment horizontal="general" wrapText="0" readingOrder="0"/>
      <border outline="0">
        <top/>
        <bottom/>
      </border>
    </odxf>
    <ndxf>
      <alignment horizontal="center" wrapText="1" readingOrder="0"/>
      <border outline="0">
        <top style="thin">
          <color rgb="FFE2007A"/>
        </top>
        <bottom style="thin">
          <color theme="0" tint="-0.499984740745262"/>
        </bottom>
      </border>
    </ndxf>
  </rcc>
  <rcc rId="928" sId="3" odxf="1" dxf="1">
    <nc r="F10" t="inlineStr">
      <is>
        <t>Aktywa ogółem 
na dzień 31 marca 2015 r.</t>
      </is>
    </nc>
    <odxf>
      <alignment horizontal="general" wrapText="0" readingOrder="0"/>
      <border outline="0">
        <top/>
        <bottom/>
      </border>
    </odxf>
    <ndxf>
      <alignment horizontal="center" wrapText="1" readingOrder="0"/>
      <border outline="0">
        <top style="thin">
          <color rgb="FFE2007A"/>
        </top>
        <bottom style="thin">
          <color theme="0" tint="-0.499984740745262"/>
        </bottom>
      </border>
    </ndxf>
  </rcc>
  <rfmt sheetId="3" s="1" sqref="C11" start="0" length="0">
    <dxf>
      <numFmt numFmtId="164" formatCode="#,##0_);[Red]\(#,##0\)"/>
    </dxf>
  </rfmt>
  <rfmt sheetId="3" s="1" sqref="D11" start="0" length="0">
    <dxf>
      <numFmt numFmtId="164" formatCode="#,##0_);[Red]\(#,##0\)"/>
    </dxf>
  </rfmt>
  <rfmt sheetId="3" s="1" sqref="E11" start="0" length="0">
    <dxf>
      <numFmt numFmtId="164" formatCode="#,##0_);[Red]\(#,##0\)"/>
    </dxf>
  </rfmt>
  <rfmt sheetId="3" s="1" sqref="F11" start="0" length="0">
    <dxf>
      <numFmt numFmtId="164" formatCode="#,##0_);[Red]\(#,##0\)"/>
    </dxf>
  </rfmt>
  <rfmt sheetId="3" s="1" sqref="C12" start="0" length="0">
    <dxf>
      <numFmt numFmtId="164" formatCode="#,##0_);[Red]\(#,##0\)"/>
    </dxf>
  </rfmt>
  <rfmt sheetId="3" s="1" sqref="D12" start="0" length="0">
    <dxf>
      <numFmt numFmtId="164" formatCode="#,##0_);[Red]\(#,##0\)"/>
    </dxf>
  </rfmt>
  <rfmt sheetId="3" s="1" sqref="E12" start="0" length="0">
    <dxf>
      <numFmt numFmtId="164" formatCode="#,##0_);[Red]\(#,##0\)"/>
    </dxf>
  </rfmt>
  <rfmt sheetId="3" s="1" sqref="F12" start="0" length="0">
    <dxf>
      <numFmt numFmtId="164" formatCode="#,##0_);[Red]\(#,##0\)"/>
    </dxf>
  </rfmt>
  <rfmt sheetId="3" s="1" sqref="C13" start="0" length="0">
    <dxf>
      <numFmt numFmtId="164" formatCode="#,##0_);[Red]\(#,##0\)"/>
    </dxf>
  </rfmt>
  <rfmt sheetId="3" s="1" sqref="D13" start="0" length="0">
    <dxf>
      <numFmt numFmtId="164" formatCode="#,##0_);[Red]\(#,##0\)"/>
    </dxf>
  </rfmt>
  <rfmt sheetId="3" s="1" sqref="E13" start="0" length="0">
    <dxf>
      <numFmt numFmtId="164" formatCode="#,##0_);[Red]\(#,##0\)"/>
    </dxf>
  </rfmt>
  <rfmt sheetId="3" s="1" sqref="F13" start="0" length="0">
    <dxf>
      <numFmt numFmtId="164" formatCode="#,##0_);[Red]\(#,##0\)"/>
    </dxf>
  </rfmt>
  <rfmt sheetId="3" s="1" sqref="C14" start="0" length="0">
    <dxf>
      <numFmt numFmtId="164" formatCode="#,##0_);[Red]\(#,##0\)"/>
    </dxf>
  </rfmt>
  <rfmt sheetId="3" s="1" sqref="D14" start="0" length="0">
    <dxf>
      <numFmt numFmtId="164" formatCode="#,##0_);[Red]\(#,##0\)"/>
    </dxf>
  </rfmt>
  <rfmt sheetId="3" s="1" sqref="E14" start="0" length="0">
    <dxf>
      <numFmt numFmtId="164" formatCode="#,##0_);[Red]\(#,##0\)"/>
    </dxf>
  </rfmt>
  <rfmt sheetId="3" s="1" sqref="F14" start="0" length="0">
    <dxf>
      <numFmt numFmtId="164" formatCode="#,##0_);[Red]\(#,##0\)"/>
    </dxf>
  </rfmt>
  <rfmt sheetId="3" s="1" sqref="C15" start="0" length="0">
    <dxf>
      <numFmt numFmtId="164" formatCode="#,##0_);[Red]\(#,##0\)"/>
      <border outline="0">
        <bottom style="thin">
          <color theme="0" tint="-0.499984740745262"/>
        </bottom>
      </border>
    </dxf>
  </rfmt>
  <rfmt sheetId="3" s="1" sqref="D15" start="0" length="0">
    <dxf>
      <numFmt numFmtId="164" formatCode="#,##0_);[Red]\(#,##0\)"/>
      <border outline="0">
        <bottom style="thin">
          <color theme="0" tint="-0.499984740745262"/>
        </bottom>
      </border>
    </dxf>
  </rfmt>
  <rfmt sheetId="3" s="1" sqref="E15" start="0" length="0">
    <dxf>
      <numFmt numFmtId="164" formatCode="#,##0_);[Red]\(#,##0\)"/>
      <border outline="0">
        <bottom style="thin">
          <color theme="0" tint="-0.499984740745262"/>
        </bottom>
      </border>
    </dxf>
  </rfmt>
  <rfmt sheetId="3" s="1" sqref="F15" start="0" length="0">
    <dxf>
      <numFmt numFmtId="164" formatCode="#,##0_);[Red]\(#,##0\)"/>
      <border outline="0">
        <bottom style="thin">
          <color theme="0" tint="-0.499984740745262"/>
        </bottom>
      </border>
    </dxf>
  </rfmt>
  <rrc rId="929" sId="3" ref="G1:G1048576" action="deleteCol">
    <rfmt sheetId="3" xfDxf="1" sqref="G1:G1048576" start="0" length="0">
      <dxf>
        <fill>
          <patternFill patternType="solid">
            <bgColor theme="0"/>
          </patternFill>
        </fill>
      </dxf>
    </rfmt>
    <rfmt sheetId="3" sqref="G1" start="0" length="0">
      <dxf>
        <font>
          <sz val="16"/>
          <color rgb="FF4B4B4B"/>
          <name val="Arial"/>
          <scheme val="none"/>
        </font>
        <alignment horizontal="left" vertical="center" indent="1" readingOrder="0"/>
      </dxf>
    </rfmt>
    <rfmt sheetId="3" sqref="G2" start="0" length="0">
      <dxf>
        <font>
          <sz val="10"/>
          <color rgb="FF4B4B4B"/>
          <name val="Arial"/>
          <scheme val="none"/>
        </font>
        <alignment vertical="center" readingOrder="0"/>
      </dxf>
    </rfmt>
    <rfmt sheetId="3" sqref="G3" start="0" length="0">
      <dxf>
        <font>
          <sz val="10"/>
          <color rgb="FF4B4B4B"/>
          <name val="Arial"/>
          <scheme val="none"/>
        </font>
      </dxf>
    </rfmt>
    <rfmt sheetId="3" sqref="G4" start="0" length="0">
      <dxf>
        <font>
          <sz val="10"/>
          <color rgb="FF4B4B4B"/>
          <name val="Arial"/>
          <scheme val="none"/>
        </font>
      </dxf>
    </rfmt>
    <rfmt sheetId="3" sqref="G5" start="0" length="0">
      <dxf>
        <font>
          <sz val="10"/>
          <color rgb="FF4B4B4B"/>
          <name val="Arial"/>
          <scheme val="none"/>
        </font>
      </dxf>
    </rfmt>
    <rfmt sheetId="3" sqref="G6" start="0" length="0">
      <dxf>
        <font>
          <sz val="10"/>
          <color rgb="FF4B4B4B"/>
          <name val="Arial"/>
          <scheme val="none"/>
        </font>
      </dxf>
    </rfmt>
    <rfmt sheetId="3" sqref="G7" start="0" length="0">
      <dxf>
        <font>
          <sz val="10"/>
          <color rgb="FF4B4B4B"/>
          <name val="Arial"/>
          <scheme val="none"/>
        </font>
      </dxf>
    </rfmt>
    <rfmt sheetId="3" sqref="G10" start="0" length="0">
      <dxf>
        <font>
          <sz val="10"/>
          <color rgb="FF4B4B4B"/>
          <name val="Arial"/>
          <scheme val="none"/>
        </font>
        <alignment vertical="center" readingOrder="0"/>
      </dxf>
    </rfmt>
    <rfmt sheetId="3" sqref="G11" start="0" length="0">
      <dxf>
        <font>
          <sz val="10"/>
          <color rgb="FF4B4B4B"/>
          <name val="Arial"/>
          <scheme val="none"/>
        </font>
      </dxf>
    </rfmt>
    <rfmt sheetId="3" sqref="G12" start="0" length="0">
      <dxf>
        <font>
          <sz val="10"/>
          <color rgb="FF4B4B4B"/>
          <name val="Arial"/>
          <scheme val="none"/>
        </font>
      </dxf>
    </rfmt>
    <rfmt sheetId="3" sqref="G13" start="0" length="0">
      <dxf>
        <font>
          <sz val="10"/>
          <color rgb="FF4B4B4B"/>
          <name val="Arial"/>
          <scheme val="none"/>
        </font>
      </dxf>
    </rfmt>
    <rfmt sheetId="3" sqref="G14" start="0" length="0">
      <dxf>
        <font>
          <sz val="10"/>
          <color rgb="FF4B4B4B"/>
          <name val="Arial"/>
          <scheme val="none"/>
        </font>
      </dxf>
    </rfmt>
    <rfmt sheetId="3" sqref="G15" start="0" length="0">
      <dxf>
        <font>
          <sz val="10"/>
          <color rgb="FF4B4B4B"/>
          <name val="Arial"/>
          <scheme val="none"/>
        </font>
      </dxf>
    </rfmt>
  </rr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7EFF5B1-32BE-4080-9902-B97F43099026}" action="delete"/>
  <rcv guid="{77EFF5B1-32BE-4080-9902-B97F4309902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8">
    <oc r="AC90">
      <f>AA90</f>
    </oc>
    <nc r="AC90">
      <f>AA90-Bilans!C52-Bilans!C53-Bilans!C59</f>
    </nc>
  </rcc>
  <rfmt sheetId="8" sqref="AC90">
    <dxf>
      <fill>
        <patternFill>
          <bgColor theme="0"/>
        </patternFill>
      </fill>
    </dxf>
  </rfmt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0" sId="3">
    <oc r="C2" t="inlineStr">
      <is>
        <t>Przychody ze sprzedaży 
za I kwartał 2016 r.</t>
      </is>
    </oc>
    <nc r="C2" t="inlineStr">
      <is>
        <t>Przychody ze sprzedaży 
za I półrocze 2016 r.</t>
      </is>
    </nc>
  </rcc>
  <rcc rId="931" sId="3">
    <oc r="C10" t="inlineStr">
      <is>
        <t>Przychody ze sprzedaży 
za I kwartał 2015 r.</t>
      </is>
    </oc>
    <nc r="C10" t="inlineStr">
      <is>
        <t>Przychody ze sprzedaży 
za I półrocze 2015 r.</t>
      </is>
    </nc>
  </rcc>
  <rcc rId="932" sId="3">
    <oc r="D2" t="inlineStr">
      <is>
        <t>EBITDA 
za I kwartał 2016 r.</t>
      </is>
    </oc>
    <nc r="D2" t="inlineStr">
      <is>
        <t>EBITDA 
za I półrocze 2016 r.</t>
      </is>
    </nc>
  </rcc>
  <rcc rId="933" sId="3">
    <oc r="D10" t="inlineStr">
      <is>
        <t>EBITDA 
za I kwartał 2015 r.</t>
      </is>
    </oc>
    <nc r="D10" t="inlineStr">
      <is>
        <t>EBITDA 
za I półrocze 2015 r.</t>
      </is>
    </nc>
  </rcc>
  <rcc rId="934" sId="3">
    <oc r="E2" t="inlineStr">
      <is>
        <t>EBIT 
za I kwartał 2016 r.</t>
      </is>
    </oc>
    <nc r="E2" t="inlineStr">
      <is>
        <t>EBIT 
za I półrocze 2016 r.</t>
      </is>
    </nc>
  </rcc>
  <rcc rId="935" sId="3">
    <oc r="E10" t="inlineStr">
      <is>
        <t>EBIT 
za I kwartał 2015 r.</t>
      </is>
    </oc>
    <nc r="E10" t="inlineStr">
      <is>
        <t>EBIT 
za I półrocze 2015 r.</t>
      </is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6" sId="3">
    <oc r="F2" t="inlineStr">
      <is>
        <t>Aktywa ogółem 
na dzień 31 marca 2016 r.</t>
      </is>
    </oc>
    <nc r="F2" t="inlineStr">
      <is>
        <t>Aktywa ogółem 
na dzień 30 czerwca 2016 r.</t>
      </is>
    </nc>
  </rcc>
  <rcc rId="937" sId="3">
    <oc r="F10" t="inlineStr">
      <is>
        <t>Aktywa ogółem 
na dzień 31 marca 2015 r.</t>
      </is>
    </oc>
    <nc r="F10" t="inlineStr">
      <is>
        <t>Aktywa ogółem 
na dzień 30 czerwca 2015 r.</t>
      </is>
    </nc>
  </rcc>
  <rcc rId="938" sId="3">
    <oc r="K2" t="inlineStr">
      <is>
        <t>Aktywa ogółem 
na dzień 31 marca 2016 r.</t>
      </is>
    </oc>
    <nc r="K2" t="inlineStr">
      <is>
        <t>Aktywa ogółem 
na dzień 30 czerwca 2016 r.</t>
      </is>
    </nc>
  </rcc>
  <rcc rId="939" sId="3">
    <oc r="K10" t="inlineStr">
      <is>
        <t>Aktywa ogółem 
na dzień 31 marca 2015 r.</t>
      </is>
    </oc>
    <nc r="K10" t="inlineStr">
      <is>
        <t>Aktywa ogółem 
na dzień 30 czerwca 2015 r.</t>
      </is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0" sId="3">
    <nc r="C3">
      <f>'C:\Users\iwiechecka\Documents\SKONSOLIDOWANE GRUPA\RAPORT IIQ 2016\[MSSF_2016_QII.xlsx]1_1 '!$B$8</f>
    </nc>
  </rcc>
  <rcc rId="941" sId="3">
    <nc r="C4">
      <f>'C:\Users\iwiechecka\Documents\SKONSOLIDOWANE GRUPA\RAPORT IIQ 2016\[MSSF_2016_QII.xlsx]1_1 '!$C$8</f>
    </nc>
  </rcc>
  <rcc rId="942" sId="3">
    <nc r="C5">
      <f>'C:\Users\iwiechecka\Documents\SKONSOLIDOWANE GRUPA\RAPORT IIQ 2016\[MSSF_2016_QII.xlsx]1_1 '!$D$8</f>
    </nc>
  </rcc>
  <rcc rId="943" sId="3">
    <nc r="C6">
      <f>'C:\Users\iwiechecka\Documents\SKONSOLIDOWANE GRUPA\RAPORT IIQ 2016\[MSSF_2016_QII.xlsx]1_1 '!$E$8</f>
    </nc>
  </rcc>
  <rcc rId="944" sId="3">
    <nc r="C7">
      <f>'C:\Users\iwiechecka\Documents\SKONSOLIDOWANE GRUPA\RAPORT IIQ 2016\[MSSF_2016_QII.xlsx]1_1 '!$F$8</f>
    </nc>
  </rcc>
  <rcc rId="945" sId="3">
    <nc r="D3">
      <f>'C:\Users\iwiechecka\Documents\SKONSOLIDOWANE GRUPA\RAPORT IIQ 2016\[MSSF_2016_QII.xlsx]1_1 '!$B$32</f>
    </nc>
  </rcc>
  <rcc rId="946" sId="3">
    <nc r="D4">
      <f>'C:\Users\iwiechecka\Documents\SKONSOLIDOWANE GRUPA\RAPORT IIQ 2016\[MSSF_2016_QII.xlsx]1_1 '!$C$32</f>
    </nc>
  </rcc>
  <rcc rId="947" sId="3">
    <nc r="D5">
      <f>'C:\Users\iwiechecka\Documents\SKONSOLIDOWANE GRUPA\RAPORT IIQ 2016\[MSSF_2016_QII.xlsx]1_1 '!$D$32</f>
    </nc>
  </rcc>
  <rcc rId="948" sId="3">
    <nc r="D6">
      <f>'C:\Users\iwiechecka\Documents\SKONSOLIDOWANE GRUPA\RAPORT IIQ 2016\[MSSF_2016_QII.xlsx]1_1 '!$E$32</f>
    </nc>
  </rcc>
  <rcc rId="949" sId="3">
    <nc r="D7">
      <f>'C:\Users\iwiechecka\Documents\SKONSOLIDOWANE GRUPA\RAPORT IIQ 2016\[MSSF_2016_QII.xlsx]1_1 '!$F$32</f>
    </nc>
  </rcc>
  <rcc rId="950" sId="3">
    <nc r="E3">
      <f>'C:\Users\iwiechecka\Documents\SKONSOLIDOWANE GRUPA\RAPORT IIQ 2016\[MSSF_2016_QII.xlsx]1_1 '!$B$29</f>
    </nc>
  </rcc>
  <rcc rId="951" sId="3">
    <nc r="E4">
      <f>'C:\Users\iwiechecka\Documents\SKONSOLIDOWANE GRUPA\RAPORT IIQ 2016\[MSSF_2016_QII.xlsx]1_1 '!$C$29</f>
    </nc>
  </rcc>
  <rcc rId="952" sId="3">
    <nc r="E5">
      <f>'C:\Users\iwiechecka\Documents\SKONSOLIDOWANE GRUPA\RAPORT IIQ 2016\[MSSF_2016_QII.xlsx]1_1 '!$D$29</f>
    </nc>
  </rcc>
  <rcc rId="953" sId="3">
    <nc r="E6">
      <f>'C:\Users\iwiechecka\Documents\SKONSOLIDOWANE GRUPA\RAPORT IIQ 2016\[MSSF_2016_QII.xlsx]1_1 '!$E$29</f>
    </nc>
  </rcc>
  <rcc rId="954" sId="3">
    <nc r="E7">
      <f>'C:\Users\iwiechecka\Documents\SKONSOLIDOWANE GRUPA\RAPORT IIQ 2016\[MSSF_2016_QII.xlsx]1_1 '!$F$29</f>
    </nc>
  </rcc>
  <rcc rId="955" sId="3">
    <nc r="F3">
      <f>'C:\Users\iwiechecka\Documents\SKONSOLIDOWANE GRUPA\RAPORT IIQ 2016\[MSSF_2016_QII.xlsx]1_1 '!$B$23</f>
    </nc>
  </rcc>
  <rcc rId="956" sId="3">
    <nc r="F4">
      <f>'C:\Users\iwiechecka\Documents\SKONSOLIDOWANE GRUPA\RAPORT IIQ 2016\[MSSF_2016_QII.xlsx]1_1 '!$C$23</f>
    </nc>
  </rcc>
  <rcc rId="957" sId="3">
    <nc r="F5">
      <f>'C:\Users\iwiechecka\Documents\SKONSOLIDOWANE GRUPA\RAPORT IIQ 2016\[MSSF_2016_QII.xlsx]1_1 '!$D$23</f>
    </nc>
  </rcc>
  <rcc rId="958" sId="3">
    <nc r="F6">
      <f>'C:\Users\iwiechecka\Documents\SKONSOLIDOWANE GRUPA\RAPORT IIQ 2016\[MSSF_2016_QII.xlsx]1_1 '!$E$23</f>
    </nc>
  </rcc>
  <rcc rId="959" sId="3">
    <nc r="F7">
      <f>'C:\Users\iwiechecka\Documents\SKONSOLIDOWANE GRUPA\RAPORT IIQ 2016\[MSSF_2016_QII.xlsx]1_1 '!$F$23</f>
    </nc>
  </rcc>
  <rcc rId="960" sId="3">
    <nc r="C11">
      <f>'C:\Users\iwiechecka\Documents\SKONSOLIDOWANE GRUPA\RAPORT IIQ 2016\[MSSF_2016_QII.xlsx]1_1 '!$B$44</f>
    </nc>
  </rcc>
  <rcc rId="961" sId="3">
    <nc r="C12">
      <f>'C:\Users\iwiechecka\Documents\SKONSOLIDOWANE GRUPA\RAPORT IIQ 2016\[MSSF_2016_QII.xlsx]1_1 '!$C$44</f>
    </nc>
  </rcc>
  <rcc rId="962" sId="3">
    <nc r="C13">
      <f>'C:\Users\iwiechecka\Documents\SKONSOLIDOWANE GRUPA\RAPORT IIQ 2016\[MSSF_2016_QII.xlsx]1_1 '!$D$44</f>
    </nc>
  </rcc>
  <rcc rId="963" sId="3">
    <nc r="C14">
      <f>'C:\Users\iwiechecka\Documents\SKONSOLIDOWANE GRUPA\RAPORT IIQ 2016\[MSSF_2016_QII.xlsx]1_1 '!$E$44</f>
    </nc>
  </rcc>
  <rcc rId="964" sId="3">
    <nc r="C15">
      <f>'C:\Users\iwiechecka\Documents\SKONSOLIDOWANE GRUPA\RAPORT IIQ 2016\[MSSF_2016_QII.xlsx]1_1 '!$F$44</f>
    </nc>
  </rcc>
  <rcc rId="965" sId="3">
    <nc r="D11">
      <f>'C:\Users\iwiechecka\Documents\SKONSOLIDOWANE GRUPA\RAPORT IIQ 2016\[MSSF_2016_QII.xlsx]1_1 '!$B$68</f>
    </nc>
  </rcc>
  <rcc rId="966" sId="3">
    <nc r="D12">
      <f>'C:\Users\iwiechecka\Documents\SKONSOLIDOWANE GRUPA\RAPORT IIQ 2016\[MSSF_2016_QII.xlsx]1_1 '!$C$68</f>
    </nc>
  </rcc>
  <rcc rId="967" sId="3">
    <nc r="D13">
      <f>'C:\Users\iwiechecka\Documents\SKONSOLIDOWANE GRUPA\RAPORT IIQ 2016\[MSSF_2016_QII.xlsx]1_1 '!$D$68</f>
    </nc>
  </rcc>
  <rcc rId="968" sId="3">
    <nc r="D14">
      <f>'C:\Users\iwiechecka\Documents\SKONSOLIDOWANE GRUPA\RAPORT IIQ 2016\[MSSF_2016_QII.xlsx]1_1 '!$E$68</f>
    </nc>
  </rcc>
  <rcc rId="969" sId="3">
    <nc r="D15">
      <f>'C:\Users\iwiechecka\Documents\SKONSOLIDOWANE GRUPA\RAPORT IIQ 2016\[MSSF_2016_QII.xlsx]1_1 '!$F$68</f>
    </nc>
  </rcc>
  <rcc rId="970" sId="3">
    <nc r="E11">
      <f>'C:\Users\iwiechecka\Documents\SKONSOLIDOWANE GRUPA\RAPORT IIQ 2016\[MSSF_2016_QII.xlsx]1_1 '!$B$65</f>
    </nc>
  </rcc>
  <rcc rId="971" sId="3">
    <nc r="E12">
      <f>'C:\Users\iwiechecka\Documents\SKONSOLIDOWANE GRUPA\RAPORT IIQ 2016\[MSSF_2016_QII.xlsx]1_1 '!$C$65</f>
    </nc>
  </rcc>
  <rcc rId="972" sId="3">
    <nc r="E13">
      <f>'C:\Users\iwiechecka\Documents\SKONSOLIDOWANE GRUPA\RAPORT IIQ 2016\[MSSF_2016_QII.xlsx]1_1 '!$D$65</f>
    </nc>
  </rcc>
  <rcc rId="973" sId="3">
    <nc r="E14">
      <f>'C:\Users\iwiechecka\Documents\SKONSOLIDOWANE GRUPA\RAPORT IIQ 2016\[MSSF_2016_QII.xlsx]1_1 '!$E$65</f>
    </nc>
  </rcc>
  <rcc rId="974" sId="3">
    <nc r="E15">
      <f>'C:\Users\iwiechecka\Documents\SKONSOLIDOWANE GRUPA\RAPORT IIQ 2016\[MSSF_2016_QII.xlsx]1_1 '!$F$65</f>
    </nc>
  </rcc>
  <rcc rId="975" sId="3">
    <nc r="F11">
      <f>'C:\Users\iwiechecka\Documents\SKONSOLIDOWANE GRUPA\RAPORT IIQ 2016\[MSSF_2016_QII.xlsx]1_1 '!$B$59</f>
    </nc>
  </rcc>
  <rcc rId="976" sId="3">
    <nc r="F12">
      <f>'C:\Users\iwiechecka\Documents\SKONSOLIDOWANE GRUPA\RAPORT IIQ 2016\[MSSF_2016_QII.xlsx]1_1 '!$C$59</f>
    </nc>
  </rcc>
  <rcc rId="977" sId="3">
    <nc r="F13">
      <f>'C:\Users\iwiechecka\Documents\SKONSOLIDOWANE GRUPA\RAPORT IIQ 2016\[MSSF_2016_QII.xlsx]1_1 '!$D$59</f>
    </nc>
  </rcc>
  <rcc rId="978" sId="3">
    <nc r="F14">
      <f>'C:\Users\iwiechecka\Documents\SKONSOLIDOWANE GRUPA\RAPORT IIQ 2016\[MSSF_2016_QII.xlsx]1_1 '!$E$59</f>
    </nc>
  </rcc>
  <rcc rId="979" sId="3">
    <nc r="F15">
      <f>'C:\Users\iwiechecka\Documents\SKONSOLIDOWANE GRUPA\RAPORT IIQ 2016\[MSSF_2016_QII.xlsx]1_1 '!$F$59</f>
    </nc>
  </rcc>
  <rcv guid="{77EFF5B1-32BE-4080-9902-B97F43099026}" action="delete"/>
  <rcv guid="{77EFF5B1-32BE-4080-9902-B97F43099026}" action="add"/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0" sId="3">
    <nc r="K3">
      <f>'C:\Users\iwiechecka\Documents\SKONSOLIDOWANE GRUPA\RAPORT IIQ 2016\[MSSF_2016_QII.xlsx]1_1 '!$B$23</f>
    </nc>
  </rcc>
  <rcc rId="981" sId="3">
    <nc r="K4">
      <f>'C:\Users\iwiechecka\Documents\SKONSOLIDOWANE GRUPA\RAPORT IIQ 2016\[MSSF_2016_QII.xlsx]1_1 '!$C$23</f>
    </nc>
  </rcc>
  <rcc rId="982" sId="3">
    <nc r="K5">
      <f>'C:\Users\iwiechecka\Documents\SKONSOLIDOWANE GRUPA\RAPORT IIQ 2016\[MSSF_2016_QII.xlsx]1_1 '!$D$23</f>
    </nc>
  </rcc>
  <rcc rId="983" sId="3">
    <nc r="K6">
      <f>'C:\Users\iwiechecka\Documents\SKONSOLIDOWANE GRUPA\RAPORT IIQ 2016\[MSSF_2016_QII.xlsx]1_1 '!$E$23</f>
    </nc>
  </rcc>
  <rcc rId="984" sId="3">
    <nc r="K7">
      <f>'C:\Users\iwiechecka\Documents\SKONSOLIDOWANE GRUPA\RAPORT IIQ 2016\[MSSF_2016_QII.xlsx]1_1 '!$F$23</f>
    </nc>
  </rcc>
  <rcc rId="985" sId="3">
    <nc r="K11">
      <f>'C:\Users\iwiechecka\Documents\SKONSOLIDOWANE GRUPA\RAPORT IIQ 2016\[MSSF_2016_QII.xlsx]1_1 '!$B$59</f>
    </nc>
  </rcc>
  <rcc rId="986" sId="3">
    <nc r="K12">
      <f>'C:\Users\iwiechecka\Documents\SKONSOLIDOWANE GRUPA\RAPORT IIQ 2016\[MSSF_2016_QII.xlsx]1_1 '!$C$59</f>
    </nc>
  </rcc>
  <rcc rId="987" sId="3">
    <nc r="K13">
      <f>'C:\Users\iwiechecka\Documents\SKONSOLIDOWANE GRUPA\RAPORT IIQ 2016\[MSSF_2016_QII.xlsx]1_1 '!$D$59</f>
    </nc>
  </rcc>
  <rcc rId="988" sId="3">
    <nc r="K14">
      <f>'C:\Users\iwiechecka\Documents\SKONSOLIDOWANE GRUPA\RAPORT IIQ 2016\[MSSF_2016_QII.xlsx]1_1 '!$E$59</f>
    </nc>
  </rcc>
  <rcc rId="989" sId="3">
    <nc r="K15">
      <f>'C:\Users\iwiechecka\Documents\SKONSOLIDOWANE GRUPA\RAPORT IIQ 2016\[MSSF_2016_QII.xlsx]1_1 '!$F$59</f>
    </nc>
  </rcc>
  <rcc rId="990" sId="3" numFmtId="4">
    <oc r="K3">
      <f>'C:\Users\iwiechecka\Documents\SKONSOLIDOWANE GRUPA\RAPORT IIQ 2016\[MSSF_2016_QII.xlsx]1_1 '!$B$23</f>
    </oc>
    <nc r="K3">
      <v>1954277</v>
    </nc>
  </rcc>
  <rcc rId="991" sId="3" numFmtId="4">
    <oc r="K4">
      <f>'C:\Users\iwiechecka\Documents\SKONSOLIDOWANE GRUPA\RAPORT IIQ 2016\[MSSF_2016_QII.xlsx]1_1 '!$C$23</f>
    </oc>
    <nc r="K4">
      <v>10151833</v>
    </nc>
  </rcc>
  <rcc rId="992" sId="3" numFmtId="4">
    <oc r="K5">
      <f>'C:\Users\iwiechecka\Documents\SKONSOLIDOWANE GRUPA\RAPORT IIQ 2016\[MSSF_2016_QII.xlsx]1_1 '!$D$23</f>
    </oc>
    <nc r="K5">
      <v>16152899</v>
    </nc>
  </rcc>
  <rcc rId="993" sId="3" numFmtId="4">
    <oc r="K6">
      <f>'C:\Users\iwiechecka\Documents\SKONSOLIDOWANE GRUPA\RAPORT IIQ 2016\[MSSF_2016_QII.xlsx]1_1 '!$E$23</f>
    </oc>
    <nc r="K6">
      <v>2310378</v>
    </nc>
  </rcc>
  <rcc rId="994" sId="3" numFmtId="4">
    <oc r="K7">
      <f>'C:\Users\iwiechecka\Documents\SKONSOLIDOWANE GRUPA\RAPORT IIQ 2016\[MSSF_2016_QII.xlsx]1_1 '!$F$23</f>
    </oc>
    <nc r="K7">
      <v>443449</v>
    </nc>
  </rcc>
  <rcc rId="995" sId="3" numFmtId="4">
    <oc r="K11">
      <f>'C:\Users\iwiechecka\Documents\SKONSOLIDOWANE GRUPA\RAPORT IIQ 2016\[MSSF_2016_QII.xlsx]1_1 '!$B$59</f>
    </oc>
    <nc r="K11">
      <v>1657407</v>
    </nc>
  </rcc>
  <rcc rId="996" sId="3" numFmtId="4">
    <oc r="K12">
      <f>'C:\Users\iwiechecka\Documents\SKONSOLIDOWANE GRUPA\RAPORT IIQ 2016\[MSSF_2016_QII.xlsx]1_1 '!$C$59</f>
    </oc>
    <nc r="K12">
      <v>10788413</v>
    </nc>
  </rcc>
  <rcc rId="997" sId="3" numFmtId="4">
    <oc r="K13">
      <f>'C:\Users\iwiechecka\Documents\SKONSOLIDOWANE GRUPA\RAPORT IIQ 2016\[MSSF_2016_QII.xlsx]1_1 '!$D$59</f>
    </oc>
    <nc r="K13">
      <v>15974893</v>
    </nc>
  </rcc>
  <rcc rId="998" sId="3" numFmtId="4">
    <oc r="K14">
      <f>'C:\Users\iwiechecka\Documents\SKONSOLIDOWANE GRUPA\RAPORT IIQ 2016\[MSSF_2016_QII.xlsx]1_1 '!$E$59</f>
    </oc>
    <nc r="K14">
      <v>2706907</v>
    </nc>
  </rcc>
  <rcc rId="999" sId="3" numFmtId="4">
    <oc r="K15">
      <f>'C:\Users\iwiechecka\Documents\SKONSOLIDOWANE GRUPA\RAPORT IIQ 2016\[MSSF_2016_QII.xlsx]1_1 '!$F$59</f>
    </oc>
    <nc r="K15">
      <v>478618</v>
    </nc>
  </rcc>
  <rcc rId="1000" sId="3" numFmtId="4">
    <oc r="C3">
      <f>'C:\Users\iwiechecka\Documents\SKONSOLIDOWANE GRUPA\RAPORT IIQ 2016\[MSSF_2016_QII.xlsx]1_1 '!$B$8</f>
    </oc>
    <nc r="C3">
      <v>512132</v>
    </nc>
  </rcc>
  <rcc rId="1001" sId="3" numFmtId="4">
    <oc r="D3">
      <f>'C:\Users\iwiechecka\Documents\SKONSOLIDOWANE GRUPA\RAPORT IIQ 2016\[MSSF_2016_QII.xlsx]1_1 '!$B$32</f>
    </oc>
    <nc r="D3">
      <v>-169248</v>
    </nc>
  </rcc>
  <rcc rId="1002" sId="3" numFmtId="4">
    <oc r="E3">
      <f>'C:\Users\iwiechecka\Documents\SKONSOLIDOWANE GRUPA\RAPORT IIQ 2016\[MSSF_2016_QII.xlsx]1_1 '!$B$29</f>
    </oc>
    <nc r="E3">
      <v>-230536</v>
    </nc>
  </rcc>
  <rcc rId="1003" sId="3" numFmtId="4">
    <oc r="F3">
      <f>'C:\Users\iwiechecka\Documents\SKONSOLIDOWANE GRUPA\RAPORT IIQ 2016\[MSSF_2016_QII.xlsx]1_1 '!$B$23</f>
    </oc>
    <nc r="F3">
      <v>1954277</v>
    </nc>
  </rcc>
  <rcc rId="1004" sId="3" numFmtId="4">
    <oc r="C4">
      <f>'C:\Users\iwiechecka\Documents\SKONSOLIDOWANE GRUPA\RAPORT IIQ 2016\[MSSF_2016_QII.xlsx]1_1 '!$C$8</f>
    </oc>
    <nc r="C4">
      <v>2342634</v>
    </nc>
  </rcc>
  <rcc rId="1005" sId="3" numFmtId="4">
    <oc r="D4">
      <f>'C:\Users\iwiechecka\Documents\SKONSOLIDOWANE GRUPA\RAPORT IIQ 2016\[MSSF_2016_QII.xlsx]1_1 '!$C$32</f>
    </oc>
    <nc r="D4">
      <v>353961</v>
    </nc>
  </rcc>
  <rcc rId="1006" sId="3" numFmtId="4">
    <oc r="E4">
      <f>'C:\Users\iwiechecka\Documents\SKONSOLIDOWANE GRUPA\RAPORT IIQ 2016\[MSSF_2016_QII.xlsx]1_1 '!$C$29</f>
    </oc>
    <nc r="E4">
      <v>-558311</v>
    </nc>
  </rcc>
  <rcc rId="1007" sId="3" numFmtId="4">
    <oc r="F4">
      <f>'C:\Users\iwiechecka\Documents\SKONSOLIDOWANE GRUPA\RAPORT IIQ 2016\[MSSF_2016_QII.xlsx]1_1 '!$C$23</f>
    </oc>
    <nc r="F4">
      <v>10151833</v>
    </nc>
  </rcc>
  <rcc rId="1008" sId="3" numFmtId="4">
    <oc r="C5">
      <f>'C:\Users\iwiechecka\Documents\SKONSOLIDOWANE GRUPA\RAPORT IIQ 2016\[MSSF_2016_QII.xlsx]1_1 '!$D$8</f>
    </oc>
    <nc r="C5">
      <v>3144506</v>
    </nc>
  </rcc>
  <rcc rId="1009" sId="3" numFmtId="4">
    <oc r="D5">
      <f>'C:\Users\iwiechecka\Documents\SKONSOLIDOWANE GRUPA\RAPORT IIQ 2016\[MSSF_2016_QII.xlsx]1_1 '!$D$32</f>
    </oc>
    <nc r="D5">
      <v>1147597</v>
    </nc>
  </rcc>
  <rcc rId="1010" sId="3" numFmtId="4">
    <oc r="E5">
      <f>'C:\Users\iwiechecka\Documents\SKONSOLIDOWANE GRUPA\RAPORT IIQ 2016\[MSSF_2016_QII.xlsx]1_1 '!$D$29</f>
    </oc>
    <nc r="E5">
      <v>643524</v>
    </nc>
  </rcc>
  <rcc rId="1011" sId="3" numFmtId="4">
    <oc r="F5">
      <f>'C:\Users\iwiechecka\Documents\SKONSOLIDOWANE GRUPA\RAPORT IIQ 2016\[MSSF_2016_QII.xlsx]1_1 '!$D$23</f>
    </oc>
    <nc r="F5">
      <v>16152899</v>
    </nc>
  </rcc>
  <rcc rId="1012" sId="3" numFmtId="4">
    <oc r="C6">
      <f>'C:\Users\iwiechecka\Documents\SKONSOLIDOWANE GRUPA\RAPORT IIQ 2016\[MSSF_2016_QII.xlsx]1_1 '!$E$8</f>
    </oc>
    <nc r="C6">
      <v>6987186</v>
    </nc>
  </rcc>
  <rcc rId="1013" sId="3" numFmtId="4">
    <oc r="D6">
      <f>'C:\Users\iwiechecka\Documents\SKONSOLIDOWANE GRUPA\RAPORT IIQ 2016\[MSSF_2016_QII.xlsx]1_1 '!$E$32</f>
    </oc>
    <nc r="D6">
      <v>279804</v>
    </nc>
  </rcc>
  <rcc rId="1014" sId="3" numFmtId="4">
    <oc r="E6">
      <f>'C:\Users\iwiechecka\Documents\SKONSOLIDOWANE GRUPA\RAPORT IIQ 2016\[MSSF_2016_QII.xlsx]1_1 '!$E$29</f>
    </oc>
    <nc r="E6">
      <v>273890</v>
    </nc>
  </rcc>
  <rcc rId="1015" sId="3" numFmtId="4">
    <oc r="F6">
      <f>'C:\Users\iwiechecka\Documents\SKONSOLIDOWANE GRUPA\RAPORT IIQ 2016\[MSSF_2016_QII.xlsx]1_1 '!$E$23</f>
    </oc>
    <nc r="F6">
      <v>2310378</v>
    </nc>
  </rcc>
  <rcc rId="1016" sId="3" numFmtId="4">
    <oc r="C7">
      <f>'C:\Users\iwiechecka\Documents\SKONSOLIDOWANE GRUPA\RAPORT IIQ 2016\[MSSF_2016_QII.xlsx]1_1 '!$F$8</f>
    </oc>
    <nc r="C7">
      <v>428843</v>
    </nc>
  </rcc>
  <rcc rId="1017" sId="3" numFmtId="4">
    <oc r="D7">
      <f>'C:\Users\iwiechecka\Documents\SKONSOLIDOWANE GRUPA\RAPORT IIQ 2016\[MSSF_2016_QII.xlsx]1_1 '!$F$32</f>
    </oc>
    <nc r="D7">
      <v>66036</v>
    </nc>
  </rcc>
  <rcc rId="1018" sId="3" numFmtId="4">
    <oc r="E7">
      <f>'C:\Users\iwiechecka\Documents\SKONSOLIDOWANE GRUPA\RAPORT IIQ 2016\[MSSF_2016_QII.xlsx]1_1 '!$F$29</f>
    </oc>
    <nc r="E7">
      <v>29822</v>
    </nc>
  </rcc>
  <rcc rId="1019" sId="3" numFmtId="4">
    <oc r="F7">
      <f>'C:\Users\iwiechecka\Documents\SKONSOLIDOWANE GRUPA\RAPORT IIQ 2016\[MSSF_2016_QII.xlsx]1_1 '!$F$23</f>
    </oc>
    <nc r="F7">
      <v>443449</v>
    </nc>
  </rcc>
  <rcc rId="1020" sId="3" numFmtId="4">
    <oc r="C11">
      <f>'C:\Users\iwiechecka\Documents\SKONSOLIDOWANE GRUPA\RAPORT IIQ 2016\[MSSF_2016_QII.xlsx]1_1 '!$B$44</f>
    </oc>
    <nc r="C11">
      <v>541951</v>
    </nc>
  </rcc>
  <rcc rId="1021" sId="3" numFmtId="4">
    <oc r="D11">
      <f>'C:\Users\iwiechecka\Documents\SKONSOLIDOWANE GRUPA\RAPORT IIQ 2016\[MSSF_2016_QII.xlsx]1_1 '!$B$68</f>
    </oc>
    <nc r="D11">
      <v>-157902</v>
    </nc>
  </rcc>
  <rcc rId="1022" sId="3" numFmtId="4">
    <oc r="E11">
      <f>'C:\Users\iwiechecka\Documents\SKONSOLIDOWANE GRUPA\RAPORT IIQ 2016\[MSSF_2016_QII.xlsx]1_1 '!$B$65</f>
    </oc>
    <nc r="E11">
      <v>-214265</v>
    </nc>
  </rcc>
  <rcc rId="1023" sId="3" numFmtId="4">
    <oc r="F11">
      <f>'C:\Users\iwiechecka\Documents\SKONSOLIDOWANE GRUPA\RAPORT IIQ 2016\[MSSF_2016_QII.xlsx]1_1 '!$B$59</f>
    </oc>
    <nc r="F11">
      <v>1657407</v>
    </nc>
  </rcc>
  <rcc rId="1024" sId="3" numFmtId="4">
    <oc r="C12">
      <f>'C:\Users\iwiechecka\Documents\SKONSOLIDOWANE GRUPA\RAPORT IIQ 2016\[MSSF_2016_QII.xlsx]1_1 '!$C$44</f>
    </oc>
    <nc r="C12">
      <v>2747088</v>
    </nc>
  </rcc>
  <rcc rId="1025" sId="3" numFmtId="4">
    <oc r="D12">
      <f>'C:\Users\iwiechecka\Documents\SKONSOLIDOWANE GRUPA\RAPORT IIQ 2016\[MSSF_2016_QII.xlsx]1_1 '!$C$68</f>
    </oc>
    <nc r="D12">
      <v>466402</v>
    </nc>
  </rcc>
  <rcc rId="1026" sId="3" numFmtId="4">
    <oc r="E12">
      <f>'C:\Users\iwiechecka\Documents\SKONSOLIDOWANE GRUPA\RAPORT IIQ 2016\[MSSF_2016_QII.xlsx]1_1 '!$C$65</f>
    </oc>
    <nc r="E12">
      <v>181936</v>
    </nc>
  </rcc>
  <rcc rId="1027" sId="3" numFmtId="4">
    <oc r="F12">
      <f>'C:\Users\iwiechecka\Documents\SKONSOLIDOWANE GRUPA\RAPORT IIQ 2016\[MSSF_2016_QII.xlsx]1_1 '!$C$59</f>
    </oc>
    <nc r="F12">
      <v>10788413</v>
    </nc>
  </rcc>
  <rcc rId="1028" sId="3" numFmtId="4">
    <oc r="C13">
      <f>'C:\Users\iwiechecka\Documents\SKONSOLIDOWANE GRUPA\RAPORT IIQ 2016\[MSSF_2016_QII.xlsx]1_1 '!$D$44</f>
    </oc>
    <nc r="C13">
      <v>3228357</v>
    </nc>
  </rcc>
  <rcc rId="1029" sId="3" numFmtId="4">
    <oc r="D13">
      <f>'C:\Users\iwiechecka\Documents\SKONSOLIDOWANE GRUPA\RAPORT IIQ 2016\[MSSF_2016_QII.xlsx]1_1 '!$D$68</f>
    </oc>
    <nc r="D13">
      <v>1242660</v>
    </nc>
  </rcc>
  <rcc rId="1030" sId="3" numFmtId="4">
    <oc r="E13">
      <f>'C:\Users\iwiechecka\Documents\SKONSOLIDOWANE GRUPA\RAPORT IIQ 2016\[MSSF_2016_QII.xlsx]1_1 '!$D$65</f>
    </oc>
    <nc r="E13">
      <v>758416</v>
    </nc>
  </rcc>
  <rcc rId="1031" sId="3" numFmtId="4">
    <oc r="F13">
      <f>'C:\Users\iwiechecka\Documents\SKONSOLIDOWANE GRUPA\RAPORT IIQ 2016\[MSSF_2016_QII.xlsx]1_1 '!$D$59</f>
    </oc>
    <nc r="F13">
      <v>15974893</v>
    </nc>
  </rcc>
  <rcc rId="1032" sId="3" numFmtId="4">
    <oc r="C14">
      <f>'C:\Users\iwiechecka\Documents\SKONSOLIDOWANE GRUPA\RAPORT IIQ 2016\[MSSF_2016_QII.xlsx]1_1 '!$E$44</f>
    </oc>
    <nc r="C14">
      <v>8093980</v>
    </nc>
  </rcc>
  <rcc rId="1033" sId="3" numFmtId="4">
    <oc r="D14">
      <f>'C:\Users\iwiechecka\Documents\SKONSOLIDOWANE GRUPA\RAPORT IIQ 2016\[MSSF_2016_QII.xlsx]1_1 '!$E$68</f>
    </oc>
    <nc r="D14">
      <v>335153</v>
    </nc>
  </rcc>
  <rcc rId="1034" sId="3" numFmtId="4">
    <oc r="E14">
      <f>'C:\Users\iwiechecka\Documents\SKONSOLIDOWANE GRUPA\RAPORT IIQ 2016\[MSSF_2016_QII.xlsx]1_1 '!$E$65</f>
    </oc>
    <nc r="E14">
      <v>329755</v>
    </nc>
  </rcc>
  <rcc rId="1035" sId="3" numFmtId="4">
    <oc r="F14">
      <f>'C:\Users\iwiechecka\Documents\SKONSOLIDOWANE GRUPA\RAPORT IIQ 2016\[MSSF_2016_QII.xlsx]1_1 '!$E$59</f>
    </oc>
    <nc r="F14">
      <v>2706907</v>
    </nc>
  </rcc>
  <rcc rId="1036" sId="3" numFmtId="4">
    <oc r="C15">
      <f>'C:\Users\iwiechecka\Documents\SKONSOLIDOWANE GRUPA\RAPORT IIQ 2016\[MSSF_2016_QII.xlsx]1_1 '!$F$44</f>
    </oc>
    <nc r="C15">
      <v>503146</v>
    </nc>
  </rcc>
  <rcc rId="1037" sId="3" numFmtId="4">
    <oc r="D15">
      <f>'C:\Users\iwiechecka\Documents\SKONSOLIDOWANE GRUPA\RAPORT IIQ 2016\[MSSF_2016_QII.xlsx]1_1 '!$F$68</f>
    </oc>
    <nc r="D15">
      <v>60995</v>
    </nc>
  </rcc>
  <rcc rId="1038" sId="3" numFmtId="4">
    <oc r="E15">
      <f>'C:\Users\iwiechecka\Documents\SKONSOLIDOWANE GRUPA\RAPORT IIQ 2016\[MSSF_2016_QII.xlsx]1_1 '!$F$65</f>
    </oc>
    <nc r="E15">
      <v>27896</v>
    </nc>
  </rcc>
  <rcc rId="1039" sId="3" numFmtId="4">
    <oc r="F15">
      <f>'C:\Users\iwiechecka\Documents\SKONSOLIDOWANE GRUPA\RAPORT IIQ 2016\[MSSF_2016_QII.xlsx]1_1 '!$F$59</f>
    </oc>
    <nc r="F15">
      <v>478618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0" sId="3">
    <oc r="H2" t="inlineStr">
      <is>
        <t>Przychody ze sprzedaży 
za I kwartał 2016 r.</t>
      </is>
    </oc>
    <nc r="H2" t="inlineStr">
      <is>
        <t>Przychody ze sprzedaży 
za II kwartał 2016 r.</t>
      </is>
    </nc>
  </rcc>
  <rcc rId="1041" sId="3">
    <oc r="H10" t="inlineStr">
      <is>
        <t>Przychody ze sprzedaży 
za I kwartał 2015 r.</t>
      </is>
    </oc>
    <nc r="H10" t="inlineStr">
      <is>
        <t>Przychody ze sprzedaży 
za II kwartał 2015 r.</t>
      </is>
    </nc>
  </rcc>
  <rcc rId="1042" sId="3">
    <oc r="I2" t="inlineStr">
      <is>
        <t>EBITDA 
za I kwartał 2016 r.</t>
      </is>
    </oc>
    <nc r="I2" t="inlineStr">
      <is>
        <t>EBITDA 
za II kwartał 2016 r.</t>
      </is>
    </nc>
  </rcc>
  <rcc rId="1043" sId="3">
    <oc r="J2" t="inlineStr">
      <is>
        <t>EBIT 
za I kwartał 2016 r.</t>
      </is>
    </oc>
    <nc r="J2" t="inlineStr">
      <is>
        <t>EBIT 
za II kwartał 2016 r.</t>
      </is>
    </nc>
  </rcc>
  <rcc rId="1044" sId="3">
    <oc r="I10" t="inlineStr">
      <is>
        <t>EBITDA 
za I kwartał 2015 r.</t>
      </is>
    </oc>
    <nc r="I10" t="inlineStr">
      <is>
        <t>EBITDA 
za II kwartał 2015 r.</t>
      </is>
    </nc>
  </rcc>
  <rcc rId="1045" sId="3">
    <oc r="J10" t="inlineStr">
      <is>
        <t>EBIT 
za I kwartał 2015 r.</t>
      </is>
    </oc>
    <nc r="J10" t="inlineStr">
      <is>
        <t>EBIT 
za II kwartał 2015 r.</t>
      </is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6" sId="3">
    <nc r="H3">
      <f>'C:\Users\iwiechecka\Documents\SKONSOLIDOWANE GRUPA\RAPORT IIQ 2016\[Tabele_giełda_Q2_2016_20160811.xlsx]Q2_2016'!$I$188</f>
    </nc>
  </rcc>
  <rcc rId="1047" sId="3">
    <nc r="H4">
      <f>'C:\Users\iwiechecka\Documents\SKONSOLIDOWANE GRUPA\RAPORT IIQ 2016\[Tabele_giełda_Q2_2016_20160811.xlsx]Q2_2016'!$I$194</f>
    </nc>
  </rcc>
  <rcc rId="1048" sId="3">
    <nc r="H5">
      <f>'C:\Users\iwiechecka\Documents\SKONSOLIDOWANE GRUPA\RAPORT IIQ 2016\[Tabele_giełda_Q2_2016_20160811.xlsx]Q2_2016'!$I$200</f>
    </nc>
  </rcc>
  <rcc rId="1049" sId="3">
    <nc r="H6">
      <f>'C:\Users\iwiechecka\Documents\SKONSOLIDOWANE GRUPA\RAPORT IIQ 2016\[Tabele_giełda_Q2_2016_20160811.xlsx]Q2_2016'!$I$206</f>
    </nc>
  </rcc>
  <rcc rId="1050" sId="3">
    <nc r="H7">
      <f>'C:\Users\iwiechecka\Documents\SKONSOLIDOWANE GRUPA\RAPORT IIQ 2016\[Tabele_giełda_Q2_2016_20160811.xlsx]Q2_2016'!$I$212</f>
    </nc>
  </rcc>
  <rcc rId="1051" sId="3">
    <nc r="H11">
      <f>'C:\Users\iwiechecka\Documents\SKONSOLIDOWANE GRUPA\RAPORT IIQ 2016\[Tabele_giełda_Q2_2016_20160811.xlsx]Q2_2016'!$J$188</f>
    </nc>
  </rcc>
  <rcc rId="1052" sId="3">
    <nc r="H12">
      <f>'C:\Users\iwiechecka\Documents\SKONSOLIDOWANE GRUPA\RAPORT IIQ 2016\[Tabele_giełda_Q2_2016_20160811.xlsx]Q2_2016'!$J$194</f>
    </nc>
  </rcc>
  <rcc rId="1053" sId="3">
    <nc r="H13">
      <f>'C:\Users\iwiechecka\Documents\SKONSOLIDOWANE GRUPA\RAPORT IIQ 2016\[Tabele_giełda_Q2_2016_20160811.xlsx]Q2_2016'!$J$200</f>
    </nc>
  </rcc>
  <rcc rId="1054" sId="3">
    <nc r="H14">
      <f>'C:\Users\iwiechecka\Documents\SKONSOLIDOWANE GRUPA\RAPORT IIQ 2016\[Tabele_giełda_Q2_2016_20160811.xlsx]Q2_2016'!$J$206</f>
    </nc>
  </rcc>
  <rcc rId="1055" sId="3">
    <nc r="H15">
      <f>'C:\Users\iwiechecka\Documents\SKONSOLIDOWANE GRUPA\RAPORT IIQ 2016\[Tabele_giełda_Q2_2016_20160811.xlsx]Q2_2016'!$J$212</f>
    </nc>
  </rcc>
  <rcc rId="1056" sId="3">
    <nc r="I3">
      <f>'C:\Users\iwiechecka\Documents\SKONSOLIDOWANE GRUPA\RAPORT IIQ 2016\[Tabele_giełda_Q2_2016_20160811.xlsx]Q2_2016'!$I$191</f>
    </nc>
  </rcc>
  <rcc rId="1057" sId="3">
    <nc r="I4">
      <f>'C:\Users\iwiechecka\Documents\SKONSOLIDOWANE GRUPA\RAPORT IIQ 2016\[Tabele_giełda_Q2_2016_20160811.xlsx]Q2_2016'!$I$197</f>
    </nc>
  </rcc>
  <rcc rId="1058" sId="3">
    <nc r="I5">
      <f>'C:\Users\iwiechecka\Documents\SKONSOLIDOWANE GRUPA\RAPORT IIQ 2016\[Tabele_giełda_Q2_2016_20160811.xlsx]Q2_2016'!$I$203</f>
    </nc>
  </rcc>
  <rcc rId="1059" sId="3">
    <nc r="I6">
      <f>'C:\Users\iwiechecka\Documents\SKONSOLIDOWANE GRUPA\RAPORT IIQ 2016\[Tabele_giełda_Q2_2016_20160811.xlsx]Q2_2016'!$I$209</f>
    </nc>
  </rcc>
  <rcc rId="1060" sId="3">
    <nc r="I7">
      <f>'C:\Users\iwiechecka\Documents\SKONSOLIDOWANE GRUPA\RAPORT IIQ 2016\[Tabele_giełda_Q2_2016_20160811.xlsx]Q2_2016'!$I$215</f>
    </nc>
  </rcc>
  <rcc rId="1061" sId="3">
    <nc r="I11">
      <f>'C:\Users\iwiechecka\Documents\SKONSOLIDOWANE GRUPA\RAPORT IIQ 2016\[Tabele_giełda_Q2_2016_20160811.xlsx]Q2_2016'!$J$191</f>
    </nc>
  </rcc>
  <rcc rId="1062" sId="3">
    <nc r="I12">
      <f>'C:\Users\iwiechecka\Documents\SKONSOLIDOWANE GRUPA\RAPORT IIQ 2016\[Tabele_giełda_Q2_2016_20160811.xlsx]Q2_2016'!$J$197</f>
    </nc>
  </rcc>
  <rcc rId="1063" sId="3">
    <nc r="I13">
      <f>'C:\Users\iwiechecka\Documents\SKONSOLIDOWANE GRUPA\RAPORT IIQ 2016\[Tabele_giełda_Q2_2016_20160811.xlsx]Q2_2016'!$J$203</f>
    </nc>
  </rcc>
  <rcc rId="1064" sId="3">
    <nc r="I14">
      <f>'C:\Users\iwiechecka\Documents\SKONSOLIDOWANE GRUPA\RAPORT IIQ 2016\[Tabele_giełda_Q2_2016_20160811.xlsx]Q2_2016'!$J$209</f>
    </nc>
  </rcc>
  <rcc rId="1065" sId="3">
    <nc r="I15">
      <f>'C:\Users\iwiechecka\Documents\SKONSOLIDOWANE GRUPA\RAPORT IIQ 2016\[Tabele_giełda_Q2_2016_20160811.xlsx]Q2_2016'!$J$215</f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6" sId="3">
    <nc r="J3">
      <f>'C:\Users\iwiechecka\Documents\SKONSOLIDOWANE GRUPA\RAPORT IIQ 2016\[Tabele_giełda_Q2_2016_20160811.xlsx]Q2_2016'!$I$189</f>
    </nc>
  </rcc>
  <rcc rId="1067" sId="3">
    <nc r="J4">
      <f>'C:\Users\iwiechecka\Documents\SKONSOLIDOWANE GRUPA\RAPORT IIQ 2016\[Tabele_giełda_Q2_2016_20160811.xlsx]Q2_2016'!$I$195</f>
    </nc>
  </rcc>
  <rcc rId="1068" sId="3">
    <nc r="J5">
      <f>'C:\Users\iwiechecka\Documents\SKONSOLIDOWANE GRUPA\RAPORT IIQ 2016\[Tabele_giełda_Q2_2016_20160811.xlsx]Q2_2016'!$I$201</f>
    </nc>
  </rcc>
  <rcc rId="1069" sId="3">
    <nc r="J6">
      <f>'C:\Users\iwiechecka\Documents\SKONSOLIDOWANE GRUPA\RAPORT IIQ 2016\[Tabele_giełda_Q2_2016_20160811.xlsx]Q2_2016'!$I$207</f>
    </nc>
  </rcc>
  <rcc rId="1070" sId="3">
    <nc r="J7">
      <f>'C:\Users\iwiechecka\Documents\SKONSOLIDOWANE GRUPA\RAPORT IIQ 2016\[Tabele_giełda_Q2_2016_20160811.xlsx]Q2_2016'!$I$213</f>
    </nc>
  </rcc>
  <rcc rId="1071" sId="3">
    <nc r="J11">
      <f>'C:\Users\iwiechecka\Documents\SKONSOLIDOWANE GRUPA\RAPORT IIQ 2016\[Tabele_giełda_Q2_2016_20160811.xlsx]Q2_2016'!$J$189</f>
    </nc>
  </rcc>
  <rcc rId="1072" sId="3">
    <nc r="J12">
      <f>'C:\Users\iwiechecka\Documents\SKONSOLIDOWANE GRUPA\RAPORT IIQ 2016\[Tabele_giełda_Q2_2016_20160811.xlsx]Q2_2016'!$J$195</f>
    </nc>
  </rcc>
  <rcc rId="1073" sId="3">
    <nc r="J13">
      <f>'C:\Users\iwiechecka\Documents\SKONSOLIDOWANE GRUPA\RAPORT IIQ 2016\[Tabele_giełda_Q2_2016_20160811.xlsx]Q2_2016'!$J$201</f>
    </nc>
  </rcc>
  <rcc rId="1074" sId="3">
    <nc r="J14">
      <f>'C:\Users\iwiechecka\Documents\SKONSOLIDOWANE GRUPA\RAPORT IIQ 2016\[Tabele_giełda_Q2_2016_20160811.xlsx]Q2_2016'!$J$207</f>
    </nc>
  </rcc>
  <rcc rId="1075" sId="3">
    <nc r="J15">
      <f>'C:\Users\iwiechecka\Documents\SKONSOLIDOWANE GRUPA\RAPORT IIQ 2016\[Tabele_giełda_Q2_2016_20160811.xlsx]Q2_2016'!$J$213</f>
    </nc>
  </rcc>
  <rcc rId="1076" sId="3" numFmtId="4">
    <oc r="H3">
      <f>'C:\Users\iwiechecka\Documents\SKONSOLIDOWANE GRUPA\RAPORT IIQ 2016\[Tabele_giełda_Q2_2016_20160811.xlsx]Q2_2016'!$I$188</f>
    </oc>
    <nc r="H3">
      <v>257978</v>
    </nc>
  </rcc>
  <rcc rId="1077" sId="3" numFmtId="4">
    <oc r="I3">
      <f>'C:\Users\iwiechecka\Documents\SKONSOLIDOWANE GRUPA\RAPORT IIQ 2016\[Tabele_giełda_Q2_2016_20160811.xlsx]Q2_2016'!$I$191</f>
    </oc>
    <nc r="I3">
      <v>-104490</v>
    </nc>
  </rcc>
  <rcc rId="1078" sId="3" numFmtId="4">
    <oc r="J3">
      <f>'C:\Users\iwiechecka\Documents\SKONSOLIDOWANE GRUPA\RAPORT IIQ 2016\[Tabele_giełda_Q2_2016_20160811.xlsx]Q2_2016'!$I$189</f>
    </oc>
    <nc r="J3">
      <v>-127029</v>
    </nc>
  </rcc>
  <rcc rId="1079" sId="3" numFmtId="4">
    <oc r="H4">
      <f>'C:\Users\iwiechecka\Documents\SKONSOLIDOWANE GRUPA\RAPORT IIQ 2016\[Tabele_giełda_Q2_2016_20160811.xlsx]Q2_2016'!$I$194</f>
    </oc>
    <nc r="H4">
      <v>1070810</v>
    </nc>
  </rcc>
  <rcc rId="1080" sId="3" numFmtId="4">
    <oc r="I4">
      <f>'C:\Users\iwiechecka\Documents\SKONSOLIDOWANE GRUPA\RAPORT IIQ 2016\[Tabele_giełda_Q2_2016_20160811.xlsx]Q2_2016'!$I$197</f>
    </oc>
    <nc r="I4">
      <v>162812</v>
    </nc>
  </rcc>
  <rcc rId="1081" sId="3" numFmtId="4">
    <oc r="J4">
      <f>'C:\Users\iwiechecka\Documents\SKONSOLIDOWANE GRUPA\RAPORT IIQ 2016\[Tabele_giełda_Q2_2016_20160811.xlsx]Q2_2016'!$I$195</f>
    </oc>
    <nc r="J4">
      <v>-647533</v>
    </nc>
  </rcc>
  <rcc rId="1082" sId="3" numFmtId="4">
    <oc r="H5">
      <f>'C:\Users\iwiechecka\Documents\SKONSOLIDOWANE GRUPA\RAPORT IIQ 2016\[Tabele_giełda_Q2_2016_20160811.xlsx]Q2_2016'!$I$200</f>
    </oc>
    <nc r="H5">
      <v>1528119</v>
    </nc>
  </rcc>
  <rcc rId="1083" sId="3" numFmtId="4">
    <oc r="I5">
      <f>'C:\Users\iwiechecka\Documents\SKONSOLIDOWANE GRUPA\RAPORT IIQ 2016\[Tabele_giełda_Q2_2016_20160811.xlsx]Q2_2016'!$I$203</f>
    </oc>
    <nc r="I5">
      <v>604338</v>
    </nc>
  </rcc>
  <rcc rId="1084" sId="3" numFmtId="4">
    <oc r="J5">
      <f>'C:\Users\iwiechecka\Documents\SKONSOLIDOWANE GRUPA\RAPORT IIQ 2016\[Tabele_giełda_Q2_2016_20160811.xlsx]Q2_2016'!$I$201</f>
    </oc>
    <nc r="J5">
      <v>351932</v>
    </nc>
  </rcc>
  <rcc rId="1085" sId="3" numFmtId="4">
    <oc r="H6">
      <f>'C:\Users\iwiechecka\Documents\SKONSOLIDOWANE GRUPA\RAPORT IIQ 2016\[Tabele_giełda_Q2_2016_20160811.xlsx]Q2_2016'!$I$206</f>
    </oc>
    <nc r="H6">
      <v>3395998</v>
    </nc>
  </rcc>
  <rcc rId="1086" sId="3" numFmtId="4">
    <oc r="I6">
      <f>'C:\Users\iwiechecka\Documents\SKONSOLIDOWANE GRUPA\RAPORT IIQ 2016\[Tabele_giełda_Q2_2016_20160811.xlsx]Q2_2016'!$I$209</f>
    </oc>
    <nc r="I6">
      <v>113042</v>
    </nc>
  </rcc>
  <rcc rId="1087" sId="3" numFmtId="4">
    <oc r="J6">
      <f>'C:\Users\iwiechecka\Documents\SKONSOLIDOWANE GRUPA\RAPORT IIQ 2016\[Tabele_giełda_Q2_2016_20160811.xlsx]Q2_2016'!$I$207</f>
    </oc>
    <nc r="J6">
      <v>113669</v>
    </nc>
  </rcc>
  <rcc rId="1088" sId="3" numFmtId="4">
    <oc r="H7">
      <f>'C:\Users\iwiechecka\Documents\SKONSOLIDOWANE GRUPA\RAPORT IIQ 2016\[Tabele_giełda_Q2_2016_20160811.xlsx]Q2_2016'!$I$212</f>
    </oc>
    <nc r="H7">
      <v>211401</v>
    </nc>
  </rcc>
  <rcc rId="1089" sId="3" numFmtId="4">
    <oc r="I7">
      <f>'C:\Users\iwiechecka\Documents\SKONSOLIDOWANE GRUPA\RAPORT IIQ 2016\[Tabele_giełda_Q2_2016_20160811.xlsx]Q2_2016'!$I$215</f>
    </oc>
    <nc r="I7">
      <v>35550</v>
    </nc>
  </rcc>
  <rcc rId="1090" sId="3" numFmtId="4">
    <oc r="J7">
      <f>'C:\Users\iwiechecka\Documents\SKONSOLIDOWANE GRUPA\RAPORT IIQ 2016\[Tabele_giełda_Q2_2016_20160811.xlsx]Q2_2016'!$I$213</f>
    </oc>
    <nc r="J7">
      <v>17383</v>
    </nc>
  </rcc>
  <rcc rId="1091" sId="3" numFmtId="4">
    <oc r="H11">
      <f>'C:\Users\iwiechecka\Documents\SKONSOLIDOWANE GRUPA\RAPORT IIQ 2016\[Tabele_giełda_Q2_2016_20160811.xlsx]Q2_2016'!$J$188</f>
    </oc>
    <nc r="H11">
      <v>273192</v>
    </nc>
  </rcc>
  <rcc rId="1092" sId="3" numFmtId="4">
    <oc r="I11">
      <f>'C:\Users\iwiechecka\Documents\SKONSOLIDOWANE GRUPA\RAPORT IIQ 2016\[Tabele_giełda_Q2_2016_20160811.xlsx]Q2_2016'!$J$191</f>
    </oc>
    <nc r="I11">
      <v>-113811</v>
    </nc>
  </rcc>
  <rcc rId="1093" sId="3" numFmtId="4">
    <oc r="J11">
      <f>'C:\Users\iwiechecka\Documents\SKONSOLIDOWANE GRUPA\RAPORT IIQ 2016\[Tabele_giełda_Q2_2016_20160811.xlsx]Q2_2016'!$J$189</f>
    </oc>
    <nc r="J11">
      <v>-142220</v>
    </nc>
  </rcc>
  <rcc rId="1094" sId="3" numFmtId="4">
    <oc r="H12">
      <f>'C:\Users\iwiechecka\Documents\SKONSOLIDOWANE GRUPA\RAPORT IIQ 2016\[Tabele_giełda_Q2_2016_20160811.xlsx]Q2_2016'!$J$194</f>
    </oc>
    <nc r="H12">
      <v>1184017</v>
    </nc>
  </rcc>
  <rcc rId="1095" sId="3" numFmtId="4">
    <oc r="I12">
      <f>'C:\Users\iwiechecka\Documents\SKONSOLIDOWANE GRUPA\RAPORT IIQ 2016\[Tabele_giełda_Q2_2016_20160811.xlsx]Q2_2016'!$J$197</f>
    </oc>
    <nc r="I12">
      <v>188031</v>
    </nc>
  </rcc>
  <rcc rId="1096" sId="3" numFmtId="4">
    <oc r="J12">
      <f>'C:\Users\iwiechecka\Documents\SKONSOLIDOWANE GRUPA\RAPORT IIQ 2016\[Tabele_giełda_Q2_2016_20160811.xlsx]Q2_2016'!$J$195</f>
    </oc>
    <nc r="J12">
      <v>44376</v>
    </nc>
  </rcc>
  <rcc rId="1097" sId="3" numFmtId="4">
    <oc r="H13">
      <f>'C:\Users\iwiechecka\Documents\SKONSOLIDOWANE GRUPA\RAPORT IIQ 2016\[Tabele_giełda_Q2_2016_20160811.xlsx]Q2_2016'!$J$200</f>
    </oc>
    <nc r="H13">
      <v>1585385</v>
    </nc>
  </rcc>
  <rcc rId="1098" sId="3" numFmtId="4">
    <oc r="I13">
      <f>'C:\Users\iwiechecka\Documents\SKONSOLIDOWANE GRUPA\RAPORT IIQ 2016\[Tabele_giełda_Q2_2016_20160811.xlsx]Q2_2016'!$J$203</f>
    </oc>
    <nc r="I13">
      <v>696000</v>
    </nc>
  </rcc>
  <rcc rId="1099" sId="3" numFmtId="4">
    <oc r="J13">
      <f>'C:\Users\iwiechecka\Documents\SKONSOLIDOWANE GRUPA\RAPORT IIQ 2016\[Tabele_giełda_Q2_2016_20160811.xlsx]Q2_2016'!$J$201</f>
    </oc>
    <nc r="J13">
      <v>453363</v>
    </nc>
  </rcc>
  <rcc rId="1100" sId="3" numFmtId="4">
    <oc r="H14">
      <f>'C:\Users\iwiechecka\Documents\SKONSOLIDOWANE GRUPA\RAPORT IIQ 2016\[Tabele_giełda_Q2_2016_20160811.xlsx]Q2_2016'!$J$206</f>
    </oc>
    <nc r="H14">
      <v>3915698</v>
    </nc>
  </rcc>
  <rcc rId="1101" sId="3" numFmtId="4">
    <oc r="I14">
      <f>'C:\Users\iwiechecka\Documents\SKONSOLIDOWANE GRUPA\RAPORT IIQ 2016\[Tabele_giełda_Q2_2016_20160811.xlsx]Q2_2016'!$J$209</f>
    </oc>
    <nc r="I14">
      <v>141382</v>
    </nc>
  </rcc>
  <rcc rId="1102" sId="3" numFmtId="4">
    <oc r="J14">
      <f>'C:\Users\iwiechecka\Documents\SKONSOLIDOWANE GRUPA\RAPORT IIQ 2016\[Tabele_giełda_Q2_2016_20160811.xlsx]Q2_2016'!$J$207</f>
    </oc>
    <nc r="J14">
      <v>138710</v>
    </nc>
  </rcc>
  <rcc rId="1103" sId="3" numFmtId="4">
    <oc r="H15">
      <f>'C:\Users\iwiechecka\Documents\SKONSOLIDOWANE GRUPA\RAPORT IIQ 2016\[Tabele_giełda_Q2_2016_20160811.xlsx]Q2_2016'!$J$212</f>
    </oc>
    <nc r="H15">
      <v>239006</v>
    </nc>
  </rcc>
  <rcc rId="1104" sId="3" numFmtId="4">
    <oc r="I15">
      <f>'C:\Users\iwiechecka\Documents\SKONSOLIDOWANE GRUPA\RAPORT IIQ 2016\[Tabele_giełda_Q2_2016_20160811.xlsx]Q2_2016'!$J$215</f>
    </oc>
    <nc r="I15">
      <v>17622</v>
    </nc>
  </rcc>
  <rcc rId="1105" sId="3" numFmtId="4">
    <oc r="J15">
      <f>'C:\Users\iwiechecka\Documents\SKONSOLIDOWANE GRUPA\RAPORT IIQ 2016\[Tabele_giełda_Q2_2016_20160811.xlsx]Q2_2016'!$J$213</f>
    </oc>
    <nc r="J15">
      <v>789</v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06" sId="4" ref="B1:E1048576" action="insertCol"/>
  <rfmt sheetId="4" sqref="C1" start="0" length="0">
    <dxf>
      <font>
        <sz val="12"/>
        <color rgb="FF4B4B4B"/>
        <name val="Arial"/>
        <scheme val="none"/>
      </font>
      <alignment horizontal="general" indent="0" readingOrder="0"/>
      <border outline="0">
        <bottom style="thin">
          <color rgb="FFE2007A"/>
        </bottom>
      </border>
    </dxf>
  </rfmt>
  <rfmt sheetId="4" sqref="D1" start="0" length="0">
    <dxf>
      <font>
        <sz val="12"/>
        <color rgb="FF4B4B4B"/>
        <name val="Arial"/>
        <scheme val="none"/>
      </font>
      <alignment horizontal="general" indent="0" readingOrder="0"/>
      <border outline="0">
        <bottom style="thin">
          <color rgb="FFE2007A"/>
        </bottom>
      </border>
    </dxf>
  </rfmt>
  <rfmt sheetId="4" sqref="B2" start="0" length="0">
    <dxf>
      <font>
        <sz val="11"/>
        <color theme="1"/>
        <name val="Calibri"/>
        <scheme val="minor"/>
      </font>
      <alignment horizontal="general" indent="0" readingOrder="0"/>
    </dxf>
  </rfmt>
  <rfmt sheetId="4" sqref="C2" start="0" length="0">
    <dxf>
      <font>
        <sz val="10"/>
        <color rgb="FF4B4B4B"/>
        <name val="Arial"/>
        <scheme val="none"/>
      </font>
      <alignment horizontal="center" wrapText="1" indent="0" readingOrder="0"/>
      <border outline="0">
        <top style="thin">
          <color rgb="FFE2007A"/>
        </top>
      </border>
    </dxf>
  </rfmt>
  <rfmt sheetId="4" sqref="D2" start="0" length="0">
    <dxf>
      <font>
        <sz val="10"/>
        <color rgb="FF4B4B4B"/>
        <name val="Arial"/>
        <scheme val="none"/>
      </font>
      <alignment horizontal="center" wrapText="1" indent="0" readingOrder="0"/>
      <border outline="0">
        <top style="thin">
          <color rgb="FFE2007A"/>
        </top>
      </border>
    </dxf>
  </rfmt>
  <rfmt sheetId="4" sqref="E2" start="0" length="0">
    <dxf>
      <font>
        <sz val="11"/>
        <color theme="1"/>
        <name val="Calibri"/>
        <scheme val="minor"/>
      </font>
      <alignment horizontal="general" indent="0" readingOrder="0"/>
    </dxf>
  </rfmt>
  <rfmt sheetId="4" sqref="C3" start="0" length="0">
    <dxf>
      <alignment horizontal="center" wrapText="1" readingOrder="0"/>
      <border outline="0">
        <top style="thin">
          <color rgb="FFE2007A"/>
        </top>
      </border>
    </dxf>
  </rfmt>
  <rfmt sheetId="4" sqref="D3" start="0" length="0">
    <dxf>
      <alignment horizontal="center" wrapText="1" readingOrder="0"/>
      <border outline="0">
        <top style="thin">
          <color rgb="FFE2007A"/>
        </top>
      </border>
    </dxf>
  </rfmt>
  <rfmt sheetId="4" s="1" sqref="C4" start="0" length="0">
    <dxf>
      <font>
        <sz val="10"/>
        <color rgb="FF4B4B4B"/>
        <name val="Arial"/>
        <scheme val="none"/>
      </font>
      <numFmt numFmtId="164" formatCode="#,##0_);[Red]\(#,##0\)"/>
      <border outline="0">
        <top style="thin">
          <color rgb="FF949494"/>
        </top>
      </border>
    </dxf>
  </rfmt>
  <rfmt sheetId="4" s="1" sqref="D4" start="0" length="0">
    <dxf>
      <font>
        <sz val="10"/>
        <color rgb="FF4B4B4B"/>
        <name val="Arial"/>
        <scheme val="none"/>
      </font>
      <numFmt numFmtId="164" formatCode="#,##0_);[Red]\(#,##0\)"/>
      <border outline="0">
        <top style="thin">
          <color rgb="FF949494"/>
        </top>
      </border>
    </dxf>
  </rfmt>
  <rfmt sheetId="4" s="1" sqref="C5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="1" sqref="D5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="1" sqref="C6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="1" sqref="D6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="1" sqref="C7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="1" sqref="D7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="1" sqref="C8" start="0" length="0">
    <dxf>
      <font>
        <sz val="10"/>
        <color rgb="FF4B4B4B"/>
        <name val="Arial"/>
        <scheme val="none"/>
      </font>
      <numFmt numFmtId="164" formatCode="#,##0_);[Red]\(#,##0\)"/>
      <border outline="0">
        <bottom style="thin">
          <color rgb="FF949494"/>
        </bottom>
      </border>
    </dxf>
  </rfmt>
  <rfmt sheetId="4" s="1" sqref="D8" start="0" length="0">
    <dxf>
      <font>
        <sz val="10"/>
        <color rgb="FF4B4B4B"/>
        <name val="Arial"/>
        <scheme val="none"/>
      </font>
      <numFmt numFmtId="164" formatCode="#,##0_);[Red]\(#,##0\)"/>
      <border outline="0">
        <bottom style="thin">
          <color rgb="FF949494"/>
        </bottom>
      </border>
    </dxf>
  </rfmt>
  <rfmt sheetId="4" sqref="B9" start="0" length="0">
    <dxf>
      <font>
        <b val="0"/>
        <sz val="11"/>
        <color theme="1"/>
        <name val="Calibri"/>
        <scheme val="minor"/>
      </font>
    </dxf>
  </rfmt>
  <rfmt sheetId="4" s="1" sqref="C9" start="0" length="0">
    <dxf>
      <font>
        <b val="0"/>
        <sz val="10"/>
        <color rgb="FF4B4B4B"/>
        <name val="Arial"/>
        <scheme val="none"/>
      </font>
      <numFmt numFmtId="164" formatCode="#,##0_);[Red]\(#,##0\)"/>
    </dxf>
  </rfmt>
  <rfmt sheetId="4" s="1" sqref="D9" start="0" length="0">
    <dxf>
      <font>
        <b val="0"/>
        <sz val="10"/>
        <color rgb="FF4B4B4B"/>
        <name val="Arial"/>
        <scheme val="none"/>
      </font>
      <numFmt numFmtId="164" formatCode="#,##0_);[Red]\(#,##0\)"/>
    </dxf>
  </rfmt>
  <rfmt sheetId="4" sqref="E9" start="0" length="0">
    <dxf>
      <font>
        <b val="0"/>
        <sz val="11"/>
        <color theme="1"/>
        <name val="Calibri"/>
        <scheme val="minor"/>
      </font>
    </dxf>
  </rfmt>
  <rfmt sheetId="4" s="1" sqref="C11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="1" sqref="D11" start="0" length="0">
    <dxf>
      <font>
        <sz val="10"/>
        <color rgb="FF4B4B4B"/>
        <name val="Arial"/>
        <scheme val="none"/>
      </font>
      <numFmt numFmtId="164" formatCode="#,##0_);[Red]\(#,##0\)"/>
    </dxf>
  </rfmt>
  <rrc rId="1107" sId="4" ref="B1:E1048576" action="insertCol"/>
  <rfmt sheetId="4" sqref="C1" start="0" length="0">
    <dxf>
      <font>
        <sz val="12"/>
        <color rgb="FF4B4B4B"/>
        <name val="Arial"/>
        <scheme val="none"/>
      </font>
      <alignment horizontal="general" indent="0" readingOrder="0"/>
      <border outline="0">
        <bottom style="thin">
          <color rgb="FFE2007A"/>
        </bottom>
      </border>
    </dxf>
  </rfmt>
  <rfmt sheetId="4" sqref="D1" start="0" length="0">
    <dxf>
      <font>
        <sz val="12"/>
        <color rgb="FF4B4B4B"/>
        <name val="Arial"/>
        <scheme val="none"/>
      </font>
      <alignment horizontal="general" indent="0" readingOrder="0"/>
      <border outline="0">
        <bottom style="thin">
          <color rgb="FFE2007A"/>
        </bottom>
      </border>
    </dxf>
  </rfmt>
  <rfmt sheetId="4" sqref="B2" start="0" length="0">
    <dxf>
      <font>
        <sz val="11"/>
        <color theme="1"/>
        <name val="Calibri"/>
        <scheme val="minor"/>
      </font>
      <alignment horizontal="general" indent="0" readingOrder="0"/>
    </dxf>
  </rfmt>
  <rfmt sheetId="4" sqref="C2" start="0" length="0">
    <dxf>
      <font>
        <sz val="10"/>
        <color rgb="FF4B4B4B"/>
        <name val="Arial"/>
        <scheme val="none"/>
      </font>
      <alignment horizontal="center" wrapText="1" indent="0" readingOrder="0"/>
      <border outline="0">
        <top style="thin">
          <color rgb="FFE2007A"/>
        </top>
      </border>
    </dxf>
  </rfmt>
  <rfmt sheetId="4" sqref="D2" start="0" length="0">
    <dxf>
      <font>
        <sz val="10"/>
        <color rgb="FF4B4B4B"/>
        <name val="Arial"/>
        <scheme val="none"/>
      </font>
      <alignment horizontal="center" wrapText="1" indent="0" readingOrder="0"/>
      <border outline="0">
        <top style="thin">
          <color rgb="FFE2007A"/>
        </top>
      </border>
    </dxf>
  </rfmt>
  <rfmt sheetId="4" sqref="E2" start="0" length="0">
    <dxf>
      <font>
        <sz val="11"/>
        <color theme="1"/>
        <name val="Calibri"/>
        <scheme val="minor"/>
      </font>
      <alignment horizontal="general" indent="0" readingOrder="0"/>
    </dxf>
  </rfmt>
  <rfmt sheetId="4" sqref="C3" start="0" length="0">
    <dxf>
      <alignment horizontal="center" wrapText="1" readingOrder="0"/>
      <border outline="0">
        <top style="thin">
          <color rgb="FFE2007A"/>
        </top>
      </border>
    </dxf>
  </rfmt>
  <rfmt sheetId="4" sqref="D3" start="0" length="0">
    <dxf>
      <alignment horizontal="center" wrapText="1" readingOrder="0"/>
      <border outline="0">
        <top style="thin">
          <color rgb="FFE2007A"/>
        </top>
      </border>
    </dxf>
  </rfmt>
  <rfmt sheetId="4" s="1" sqref="C4" start="0" length="0">
    <dxf>
      <font>
        <sz val="10"/>
        <color rgb="FF4B4B4B"/>
        <name val="Arial"/>
        <scheme val="none"/>
      </font>
      <numFmt numFmtId="164" formatCode="#,##0_);[Red]\(#,##0\)"/>
      <border outline="0">
        <top style="thin">
          <color rgb="FF949494"/>
        </top>
      </border>
    </dxf>
  </rfmt>
  <rfmt sheetId="4" s="1" sqref="D4" start="0" length="0">
    <dxf>
      <font>
        <sz val="10"/>
        <color rgb="FF4B4B4B"/>
        <name val="Arial"/>
        <scheme val="none"/>
      </font>
      <numFmt numFmtId="164" formatCode="#,##0_);[Red]\(#,##0\)"/>
      <border outline="0">
        <top style="thin">
          <color rgb="FF949494"/>
        </top>
      </border>
    </dxf>
  </rfmt>
  <rfmt sheetId="4" s="1" sqref="C5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="1" sqref="D5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="1" sqref="C6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="1" sqref="D6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="1" sqref="C7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="1" sqref="D7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="1" sqref="C8" start="0" length="0">
    <dxf>
      <font>
        <sz val="10"/>
        <color rgb="FF4B4B4B"/>
        <name val="Arial"/>
        <scheme val="none"/>
      </font>
      <numFmt numFmtId="164" formatCode="#,##0_);[Red]\(#,##0\)"/>
      <border outline="0">
        <bottom style="thin">
          <color rgb="FF949494"/>
        </bottom>
      </border>
    </dxf>
  </rfmt>
  <rfmt sheetId="4" s="1" sqref="D8" start="0" length="0">
    <dxf>
      <font>
        <sz val="10"/>
        <color rgb="FF4B4B4B"/>
        <name val="Arial"/>
        <scheme val="none"/>
      </font>
      <numFmt numFmtId="164" formatCode="#,##0_);[Red]\(#,##0\)"/>
      <border outline="0">
        <bottom style="thin">
          <color rgb="FF949494"/>
        </bottom>
      </border>
    </dxf>
  </rfmt>
  <rfmt sheetId="4" sqref="B9" start="0" length="0">
    <dxf>
      <font>
        <b val="0"/>
        <sz val="11"/>
        <color theme="1"/>
        <name val="Calibri"/>
        <scheme val="minor"/>
      </font>
    </dxf>
  </rfmt>
  <rfmt sheetId="4" s="1" sqref="C9" start="0" length="0">
    <dxf>
      <font>
        <b val="0"/>
        <sz val="10"/>
        <color rgb="FF4B4B4B"/>
        <name val="Arial"/>
        <scheme val="none"/>
      </font>
      <numFmt numFmtId="164" formatCode="#,##0_);[Red]\(#,##0\)"/>
    </dxf>
  </rfmt>
  <rfmt sheetId="4" s="1" sqref="D9" start="0" length="0">
    <dxf>
      <font>
        <b val="0"/>
        <sz val="10"/>
        <color rgb="FF4B4B4B"/>
        <name val="Arial"/>
        <scheme val="none"/>
      </font>
      <numFmt numFmtId="164" formatCode="#,##0_);[Red]\(#,##0\)"/>
    </dxf>
  </rfmt>
  <rfmt sheetId="4" sqref="E9" start="0" length="0">
    <dxf>
      <font>
        <b val="0"/>
        <sz val="11"/>
        <color theme="1"/>
        <name val="Calibri"/>
        <scheme val="minor"/>
      </font>
    </dxf>
  </rfmt>
  <rfmt sheetId="4" s="1" sqref="C11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="1" sqref="D11" start="0" length="0">
    <dxf>
      <font>
        <sz val="10"/>
        <color rgb="FF4B4B4B"/>
        <name val="Arial"/>
        <scheme val="none"/>
      </font>
      <numFmt numFmtId="164" formatCode="#,##0_);[Red]\(#,##0\)"/>
    </dxf>
  </rfmt>
  <rrc rId="1108" sId="4" ref="F1:F1048576" action="deleteCol">
    <rfmt sheetId="4" xfDxf="1" sqref="F1:F1048576" start="0" length="0">
      <dxf>
        <fill>
          <patternFill patternType="solid">
            <bgColor theme="0"/>
          </patternFill>
        </fill>
      </dxf>
    </rfmt>
    <rfmt sheetId="4" sqref="F1" start="0" length="0">
      <dxf>
        <font>
          <sz val="16"/>
          <color rgb="FF4B4B4B"/>
          <name val="Arial"/>
          <scheme val="none"/>
        </font>
        <alignment horizontal="left" vertical="center" indent="1" readingOrder="0"/>
      </dxf>
    </rfmt>
    <rfmt sheetId="4" sqref="F2" start="0" length="0">
      <dxf>
        <alignment vertical="center" readingOrder="0"/>
      </dxf>
    </rfmt>
    <rfmt sheetId="4" sqref="F3" start="0" length="0">
      <dxf>
        <font>
          <sz val="10"/>
          <color rgb="FF4B4B4B"/>
          <name val="Arial"/>
          <scheme val="none"/>
        </font>
        <alignment horizontal="left" vertical="center" readingOrder="0"/>
      </dxf>
    </rfmt>
    <rfmt sheetId="4" sqref="F4" start="0" length="0">
      <dxf>
        <font>
          <sz val="10"/>
          <color theme="1" tint="0.249977111117893"/>
          <name val="Arial"/>
          <scheme val="none"/>
        </font>
      </dxf>
    </rfmt>
    <rfmt sheetId="4" sqref="F5" start="0" length="0">
      <dxf>
        <font>
          <sz val="10"/>
          <color theme="1" tint="0.249977111117893"/>
          <name val="Arial"/>
          <scheme val="none"/>
        </font>
      </dxf>
    </rfmt>
    <rfmt sheetId="4" sqref="F6" start="0" length="0">
      <dxf>
        <font>
          <sz val="10"/>
          <color theme="1" tint="0.249977111117893"/>
          <name val="Arial"/>
          <scheme val="none"/>
        </font>
      </dxf>
    </rfmt>
    <rfmt sheetId="4" sqref="F7" start="0" length="0">
      <dxf>
        <font>
          <sz val="10"/>
          <color theme="1" tint="0.249977111117893"/>
          <name val="Arial"/>
          <scheme val="none"/>
        </font>
      </dxf>
    </rfmt>
    <rfmt sheetId="4" sqref="F8" start="0" length="0">
      <dxf>
        <font>
          <sz val="10"/>
          <color theme="1" tint="0.249977111117893"/>
          <name val="Arial"/>
          <scheme val="none"/>
        </font>
      </dxf>
    </rfmt>
    <rfmt sheetId="4" sqref="F11" start="0" length="0">
      <dxf>
        <font>
          <sz val="10"/>
          <color theme="1" tint="0.249977111117893"/>
          <name val="Arial"/>
          <scheme val="none"/>
        </font>
      </dxf>
    </rfmt>
  </rrc>
  <rrc rId="1109" sId="4" ref="H1:H1048576" action="deleteCol">
    <rfmt sheetId="4" xfDxf="1" sqref="H1:H1048576" start="0" length="0">
      <dxf>
        <fill>
          <patternFill patternType="solid">
            <bgColor theme="0"/>
          </patternFill>
        </fill>
      </dxf>
    </rfmt>
    <rfmt sheetId="4" sqref="H1" start="0" length="0">
      <dxf>
        <font>
          <sz val="16"/>
          <color rgb="FF4B4B4B"/>
          <name val="Arial"/>
          <scheme val="none"/>
        </font>
        <alignment horizontal="left" vertical="center" indent="1" readingOrder="0"/>
      </dxf>
    </rfmt>
    <rfmt sheetId="4" sqref="H2" start="0" length="0">
      <dxf>
        <alignment vertical="center" readingOrder="0"/>
      </dxf>
    </rfmt>
    <rfmt sheetId="4" sqref="H3" start="0" length="0">
      <dxf>
        <font>
          <sz val="10"/>
          <color rgb="FF4B4B4B"/>
          <name val="Arial"/>
          <scheme val="none"/>
        </font>
        <alignment horizontal="left" vertical="center" readingOrder="0"/>
      </dxf>
    </rfmt>
    <rfmt sheetId="4" sqref="H4" start="0" length="0">
      <dxf>
        <font>
          <sz val="10"/>
          <color theme="1" tint="0.249977111117893"/>
          <name val="Arial"/>
          <scheme val="none"/>
        </font>
      </dxf>
    </rfmt>
    <rfmt sheetId="4" sqref="H5" start="0" length="0">
      <dxf>
        <font>
          <sz val="10"/>
          <color theme="1" tint="0.249977111117893"/>
          <name val="Arial"/>
          <scheme val="none"/>
        </font>
      </dxf>
    </rfmt>
    <rfmt sheetId="4" sqref="H6" start="0" length="0">
      <dxf>
        <font>
          <sz val="10"/>
          <color theme="1" tint="0.249977111117893"/>
          <name val="Arial"/>
          <scheme val="none"/>
        </font>
      </dxf>
    </rfmt>
    <rfmt sheetId="4" sqref="H7" start="0" length="0">
      <dxf>
        <font>
          <sz val="10"/>
          <color theme="1" tint="0.249977111117893"/>
          <name val="Arial"/>
          <scheme val="none"/>
        </font>
      </dxf>
    </rfmt>
    <rfmt sheetId="4" sqref="H8" start="0" length="0">
      <dxf>
        <font>
          <sz val="10"/>
          <color theme="1" tint="0.249977111117893"/>
          <name val="Arial"/>
          <scheme val="none"/>
        </font>
      </dxf>
    </rfmt>
    <rfmt sheetId="4" sqref="H11" start="0" length="0">
      <dxf>
        <font>
          <sz val="10"/>
          <color theme="1" tint="0.249977111117893"/>
          <name val="Arial"/>
          <scheme val="none"/>
        </font>
      </dxf>
    </rfmt>
  </rrc>
  <rfmt sheetId="4" sqref="C2" start="0" length="0">
    <dxf>
      <alignment horizontal="right" readingOrder="0"/>
      <border outline="0">
        <bottom style="thin">
          <color rgb="FFE2007A"/>
        </bottom>
      </border>
    </dxf>
  </rfmt>
  <rfmt sheetId="4" sqref="C3" start="0" length="0">
    <dxf>
      <font>
        <b/>
        <sz val="10"/>
        <color rgb="FF4B4B4B"/>
        <name val="Arial"/>
        <scheme val="none"/>
      </font>
    </dxf>
  </rfmt>
  <rfmt sheetId="4" sqref="C4" start="0" length="0">
    <dxf>
      <font>
        <b/>
        <sz val="10"/>
        <color rgb="FF4B4B4B"/>
        <name val="Arial"/>
        <scheme val="none"/>
      </font>
    </dxf>
  </rfmt>
  <rfmt sheetId="4" sqref="C5" start="0" length="0">
    <dxf>
      <font>
        <b/>
        <sz val="10"/>
        <color rgb="FF4B4B4B"/>
        <name val="Arial"/>
        <scheme val="none"/>
      </font>
    </dxf>
  </rfmt>
  <rfmt sheetId="4" sqref="C6" start="0" length="0">
    <dxf>
      <font>
        <b/>
        <sz val="10"/>
        <color rgb="FF4B4B4B"/>
        <name val="Arial"/>
        <scheme val="none"/>
      </font>
    </dxf>
  </rfmt>
  <rfmt sheetId="4" sqref="C7" start="0" length="0">
    <dxf>
      <font>
        <b/>
        <sz val="10"/>
        <color rgb="FF4B4B4B"/>
        <name val="Arial"/>
        <scheme val="none"/>
      </font>
    </dxf>
  </rfmt>
  <rfmt sheetId="4" sqref="C8" start="0" length="0">
    <dxf>
      <font>
        <b/>
        <sz val="10"/>
        <color rgb="FF4B4B4B"/>
        <name val="Arial"/>
        <scheme val="none"/>
      </font>
    </dxf>
  </rfmt>
  <rfmt sheetId="4" sqref="C9" start="0" length="0">
    <dxf>
      <font>
        <b/>
        <sz val="10"/>
        <color rgb="FF4B4B4B"/>
        <name val="Arial"/>
        <scheme val="none"/>
      </font>
    </dxf>
  </rfmt>
  <rfmt sheetId="4" sqref="F2" start="0" length="0">
    <dxf>
      <alignment horizontal="right" readingOrder="0"/>
      <border outline="0">
        <bottom style="thin">
          <color rgb="FFE2007A"/>
        </bottom>
      </border>
    </dxf>
  </rfmt>
  <rfmt sheetId="4" sqref="F3" start="0" length="0">
    <dxf>
      <font>
        <b/>
        <sz val="10"/>
        <color rgb="FF4B4B4B"/>
        <name val="Arial"/>
        <scheme val="none"/>
      </font>
    </dxf>
  </rfmt>
  <rfmt sheetId="4" sqref="F4" start="0" length="0">
    <dxf>
      <font>
        <b/>
        <sz val="10"/>
        <color rgb="FF4B4B4B"/>
        <name val="Arial"/>
        <scheme val="none"/>
      </font>
    </dxf>
  </rfmt>
  <rfmt sheetId="4" sqref="F5" start="0" length="0">
    <dxf>
      <font>
        <b/>
        <sz val="10"/>
        <color rgb="FF4B4B4B"/>
        <name val="Arial"/>
        <scheme val="none"/>
      </font>
    </dxf>
  </rfmt>
  <rfmt sheetId="4" sqref="F6" start="0" length="0">
    <dxf>
      <font>
        <b/>
        <sz val="10"/>
        <color rgb="FF4B4B4B"/>
        <name val="Arial"/>
        <scheme val="none"/>
      </font>
    </dxf>
  </rfmt>
  <rfmt sheetId="4" sqref="F7" start="0" length="0">
    <dxf>
      <font>
        <b/>
        <sz val="10"/>
        <color rgb="FF4B4B4B"/>
        <name val="Arial"/>
        <scheme val="none"/>
      </font>
    </dxf>
  </rfmt>
  <rfmt sheetId="4" sqref="F8" start="0" length="0">
    <dxf>
      <font>
        <b/>
        <sz val="10"/>
        <color rgb="FF4B4B4B"/>
        <name val="Arial"/>
        <scheme val="none"/>
      </font>
    </dxf>
  </rfmt>
  <rfmt sheetId="4" sqref="F9" start="0" length="0">
    <dxf>
      <font>
        <b/>
        <sz val="10"/>
        <color rgb="FF4B4B4B"/>
        <name val="Arial"/>
        <scheme val="none"/>
      </font>
    </dxf>
  </rfmt>
  <rcc rId="1110" sId="4">
    <nc r="D3" t="inlineStr">
      <is>
        <t>I półrocze  
2015 r.</t>
      </is>
    </nc>
  </rcc>
  <rcc rId="1111" sId="4">
    <nc r="F3" t="inlineStr">
      <is>
        <t>II kwartał 
2016 r.</t>
      </is>
    </nc>
  </rcc>
  <rcc rId="1112" sId="4">
    <nc r="G3" t="inlineStr">
      <is>
        <t>II kwartał 
2015 r.</t>
      </is>
    </nc>
  </rcc>
  <rfmt sheetId="4" sqref="C9" start="0" length="0">
    <dxf>
      <font>
        <b val="0"/>
        <sz val="10"/>
        <color rgb="FF4B4B4B"/>
        <name val="Arial"/>
        <scheme val="none"/>
      </font>
    </dxf>
  </rfmt>
  <rcc rId="1113" sId="4">
    <nc r="D9">
      <f>SUM(D4:D8)</f>
    </nc>
  </rcc>
  <rcc rId="1114" sId="4" odxf="1" dxf="1">
    <nc r="F9">
      <f>SUM(F4:F8)</f>
    </nc>
    <ndxf>
      <font>
        <b val="0"/>
        <sz val="10"/>
        <color rgb="FF4B4B4B"/>
        <name val="Arial"/>
        <scheme val="none"/>
      </font>
    </ndxf>
  </rcc>
  <rcc rId="1115" sId="4">
    <nc r="G9">
      <f>SUM(G4:G8)</f>
    </nc>
  </rcc>
  <rcc rId="1116" sId="4">
    <nc r="C3" t="inlineStr">
      <is>
        <t>I półrocze 
2016 r.</t>
      </is>
    </nc>
  </rcc>
  <rcc rId="1117" sId="4">
    <nc r="C9">
      <f>SUM(C4:C8)</f>
    </nc>
  </rcc>
  <rfmt sheetId="4" sqref="C1:C1048576" start="0" length="2147483647">
    <dxf>
      <font>
        <b/>
      </font>
    </dxf>
  </rfmt>
  <rfmt sheetId="4" sqref="I1:I1048576" start="0" length="2147483647">
    <dxf>
      <font>
        <b/>
      </font>
    </dxf>
  </rfmt>
  <rcc rId="1118" sId="4">
    <oc r="I3" t="inlineStr">
      <is>
        <t>I kwartał 2016 r.</t>
      </is>
    </oc>
    <nc r="I3" t="inlineStr">
      <is>
        <t>I kwartał 
2016 r.</t>
      </is>
    </nc>
  </rcc>
  <rcc rId="1119" sId="4">
    <oc r="J3" t="inlineStr">
      <is>
        <t>I kwartał 2015 r.</t>
      </is>
    </oc>
    <nc r="J3" t="inlineStr">
      <is>
        <t>I kwartał 
2015 r.</t>
      </is>
    </nc>
  </rcc>
  <rcc rId="1120" sId="4" odxf="1" dxf="1">
    <nc r="C2" t="inlineStr">
      <is>
        <t>narastająco</t>
      </is>
    </nc>
    <ndxf>
      <font>
        <b val="0"/>
        <sz val="10"/>
        <color rgb="FF4B4B4B"/>
        <name val="Arial"/>
        <scheme val="none"/>
      </font>
    </ndxf>
  </rcc>
  <rcc rId="1121" sId="4">
    <nc r="F2" t="inlineStr">
      <is>
        <t>kwartał</t>
      </is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22" sId="4">
    <nc r="C4">
      <f>'C:\Users\iwiechecka\Documents\SKONSOLIDOWANE GRUPA\RAPORT IIQ 2016\[Tabele_giełda_Q2_2016_20160811.xlsx]Q2_2016'!$C$192</f>
    </nc>
  </rcc>
  <rcc rId="1123" sId="4">
    <nc r="C5">
      <f>'C:\Users\iwiechecka\Documents\SKONSOLIDOWANE GRUPA\RAPORT IIQ 2016\[Tabele_giełda_Q2_2016_20160811.xlsx]Q2_2016'!$C$198</f>
    </nc>
  </rcc>
  <rcc rId="1124" sId="4">
    <nc r="C6">
      <f>'C:\Users\iwiechecka\Documents\SKONSOLIDOWANE GRUPA\RAPORT IIQ 2016\[Tabele_giełda_Q2_2016_20160811.xlsx]Q2_2016'!$C$204</f>
    </nc>
  </rcc>
  <rcc rId="1125" sId="4">
    <nc r="C7">
      <f>'C:\Users\iwiechecka\Documents\SKONSOLIDOWANE GRUPA\RAPORT IIQ 2016\[Tabele_giełda_Q2_2016_20160811.xlsx]Q2_2016'!$C$210</f>
    </nc>
  </rcc>
  <rcc rId="1126" sId="4">
    <nc r="C8">
      <f>'C:\Users\iwiechecka\Documents\SKONSOLIDOWANE GRUPA\RAPORT IIQ 2016\[Tabele_giełda_Q2_2016_20160811.xlsx]Q2_2016'!$C$216</f>
    </nc>
  </rcc>
  <rcc rId="1127" sId="4">
    <nc r="D4">
      <f>'C:\Users\iwiechecka\Documents\SKONSOLIDOWANE GRUPA\RAPORT IIQ 2016\[Tabele_giełda_Q2_2016_20160811.xlsx]Q2_2016'!$D$192</f>
    </nc>
  </rcc>
  <rcc rId="1128" sId="4">
    <nc r="D5">
      <f>'C:\Users\iwiechecka\Documents\SKONSOLIDOWANE GRUPA\RAPORT IIQ 2016\[Tabele_giełda_Q2_2016_20160811.xlsx]Q2_2016'!$D$198</f>
    </nc>
  </rcc>
  <rcc rId="1129" sId="4">
    <nc r="D6">
      <f>'C:\Users\iwiechecka\Documents\SKONSOLIDOWANE GRUPA\RAPORT IIQ 2016\[Tabele_giełda_Q2_2016_20160811.xlsx]Q2_2016'!$D$204</f>
    </nc>
  </rcc>
  <rcc rId="1130" sId="4">
    <nc r="D7">
      <f>'C:\Users\iwiechecka\Documents\SKONSOLIDOWANE GRUPA\RAPORT IIQ 2016\[Tabele_giełda_Q2_2016_20160811.xlsx]Q2_2016'!$D$210</f>
    </nc>
  </rcc>
  <rcc rId="1131" sId="4">
    <nc r="D8">
      <f>'C:\Users\iwiechecka\Documents\SKONSOLIDOWANE GRUPA\RAPORT IIQ 2016\[Tabele_giełda_Q2_2016_20160811.xlsx]Q2_2016'!$D$216</f>
    </nc>
  </rcc>
  <rcc rId="1132" sId="4">
    <nc r="F4">
      <f>'C:\Users\iwiechecka\Documents\SKONSOLIDOWANE GRUPA\RAPORT IIQ 2016\[Tabele_giełda_Q2_2016_20160811.xlsx]Q2_2016'!$I$192</f>
    </nc>
  </rcc>
  <rcc rId="1133" sId="4">
    <nc r="F5">
      <f>'C:\Users\iwiechecka\Documents\SKONSOLIDOWANE GRUPA\RAPORT IIQ 2016\[Tabele_giełda_Q2_2016_20160811.xlsx]Q2_2016'!$I$198</f>
    </nc>
  </rcc>
  <rcc rId="1134" sId="4">
    <nc r="F6">
      <f>'C:\Users\iwiechecka\Documents\SKONSOLIDOWANE GRUPA\RAPORT IIQ 2016\[Tabele_giełda_Q2_2016_20160811.xlsx]Q2_2016'!$I$204</f>
    </nc>
  </rcc>
  <rcc rId="1135" sId="4">
    <nc r="F7">
      <f>'C:\Users\iwiechecka\Documents\SKONSOLIDOWANE GRUPA\RAPORT IIQ 2016\[Tabele_giełda_Q2_2016_20160811.xlsx]Q2_2016'!$I$210</f>
    </nc>
  </rcc>
  <rcc rId="1136" sId="4">
    <nc r="F8">
      <f>'C:\Users\iwiechecka\Documents\SKONSOLIDOWANE GRUPA\RAPORT IIQ 2016\[Tabele_giełda_Q2_2016_20160811.xlsx]Q2_2016'!$I$216</f>
    </nc>
  </rcc>
  <rcc rId="1137" sId="4">
    <nc r="G4">
      <f>'C:\Users\iwiechecka\Documents\SKONSOLIDOWANE GRUPA\RAPORT IIQ 2016\[Tabele_giełda_Q2_2016_20160811.xlsx]Q2_2016'!$J$192</f>
    </nc>
  </rcc>
  <rcc rId="1138" sId="4">
    <nc r="G5">
      <f>'C:\Users\iwiechecka\Documents\SKONSOLIDOWANE GRUPA\RAPORT IIQ 2016\[Tabele_giełda_Q2_2016_20160811.xlsx]Q2_2016'!$J$198</f>
    </nc>
  </rcc>
  <rcc rId="1139" sId="4">
    <nc r="G6">
      <f>'C:\Users\iwiechecka\Documents\SKONSOLIDOWANE GRUPA\RAPORT IIQ 2016\[Tabele_giełda_Q2_2016_20160811.xlsx]Q2_2016'!$J$204</f>
    </nc>
  </rcc>
  <rcc rId="1140" sId="4">
    <nc r="G7">
      <f>'C:\Users\iwiechecka\Documents\SKONSOLIDOWANE GRUPA\RAPORT IIQ 2016\[Tabele_giełda_Q2_2016_20160811.xlsx]Q2_2016'!$J$210</f>
    </nc>
  </rcc>
  <rcc rId="1141" sId="4">
    <nc r="G8">
      <f>'C:\Users\iwiechecka\Documents\SKONSOLIDOWANE GRUPA\RAPORT IIQ 2016\[Tabele_giełda_Q2_2016_20160811.xlsx]Q2_2016'!$J$216</f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7EFF5B1-32BE-4080-9902-B97F43099026}" action="delete"/>
  <rcv guid="{77EFF5B1-32BE-4080-9902-B97F4309902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AD11" start="0" length="0">
    <dxf>
      <numFmt numFmtId="164" formatCode="#,##0_);[Red]\(#,##0\)"/>
    </dxf>
  </rfmt>
  <rcc rId="11" sId="8">
    <oc r="AC8">
      <f>AA8</f>
    </oc>
    <nc r="AC8">
      <f>AA8+AA11-'Rach. zysków i strat'!C9</f>
    </nc>
  </rcc>
  <rcc rId="12" sId="8">
    <oc r="AC11">
      <f>AA11</f>
    </oc>
    <nc r="AC11">
      <f>AA8+AA11-'Rach. zysków i strat'!C9</f>
    </nc>
  </rcc>
  <rfmt sheetId="8" sqref="AC8 AC11">
    <dxf>
      <fill>
        <patternFill>
          <bgColor theme="0"/>
        </patternFill>
      </fill>
    </dxf>
  </rfmt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27AEB6E-B9F1-415E-9A60-881757A50C67}" action="add"/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42" sId="2" ref="A25:XFD25" action="insertRow"/>
  <rcc rId="1143" sId="2">
    <nc r="B25" t="inlineStr">
      <is>
        <t>Elektrociepłownia</t>
      </is>
    </nc>
  </rcc>
  <rcc rId="1144" sId="2">
    <nc r="A25" t="inlineStr">
      <is>
        <t>ZW Tychy (BC-50)</t>
      </is>
    </nc>
  </rcc>
  <rcc rId="1145" sId="2">
    <oc r="C32">
      <f>SUM(C24:C27)-C25</f>
    </oc>
    <nc r="C32">
      <f>SUM(C24:C28)-C26</f>
    </nc>
  </rcc>
  <rcc rId="1146" sId="2" numFmtId="34">
    <nc r="C25">
      <v>66</v>
    </nc>
  </rcc>
  <rcc rId="1147" sId="2" xfDxf="1" s="1" dxf="1" numFmtId="34">
    <oc r="C34">
      <v>143</v>
    </oc>
    <nc r="C34">
      <v>142.851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\ _z_ł_-;\-* #,##0\ _z_ł_-;_-* &quot;-&quot;??\ _z_ł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rgb="FF949494"/>
        </top>
        <bottom style="thin">
          <color rgb="FF949494"/>
        </bottom>
      </border>
    </ndxf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8" sId="2" numFmtId="34">
    <oc r="D10">
      <v>343.4</v>
    </oc>
    <nc r="D10">
      <v>279</v>
    </nc>
  </rcc>
  <rcc rId="1149" sId="2" numFmtId="34">
    <nc r="D25">
      <v>86</v>
    </nc>
  </rcc>
  <rcc rId="1150" sId="2">
    <oc r="D32">
      <f>SUM(D24:D28)-D26+D31</f>
    </oc>
    <nc r="D32">
      <f>SUM(D24:D28)-D26+D31</f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C7">
    <dxf>
      <fill>
        <patternFill>
          <bgColor rgb="FFFFFF00"/>
        </patternFill>
      </fill>
    </dxf>
  </rfmt>
  <rfmt sheetId="7" sqref="C9">
    <dxf>
      <fill>
        <patternFill>
          <bgColor rgb="FFFFFF00"/>
        </patternFill>
      </fill>
    </dxf>
  </rfmt>
  <rcv guid="{874BA5F8-BD95-4DDF-8F31-98DB154CA965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" sId="7" ref="A15:XFD15" action="insertRow"/>
  <rcc rId="14" sId="7">
    <nc r="A15" t="inlineStr">
      <is>
        <t>Zwrot pomocy publicznej</t>
      </is>
    </nc>
  </rcc>
  <rm rId="15" sheetId="7" source="C29:D29" destination="C15:D15" sourceSheetId="7">
    <rfmt sheetId="7" sqref="C15" start="0" length="0">
      <dxf>
        <font>
          <sz val="10"/>
          <color rgb="FF5E5E5E"/>
          <name val="Arial"/>
          <scheme val="none"/>
        </font>
        <numFmt numFmtId="168" formatCode="#,##0_);[Black]\(#,##0\)"/>
        <fill>
          <patternFill patternType="solid">
            <bgColor theme="0"/>
          </patternFill>
        </fill>
      </dxf>
    </rfmt>
    <rfmt sheetId="7" sqref="D15" start="0" length="0">
      <dxf>
        <font>
          <sz val="10"/>
          <color rgb="FF5E5E5E"/>
          <name val="Arial"/>
          <scheme val="none"/>
        </font>
        <numFmt numFmtId="168" formatCode="#,##0_);[Black]\(#,##0\)"/>
        <fill>
          <patternFill patternType="solid">
            <bgColor theme="0"/>
          </patternFill>
        </fill>
      </dxf>
    </rfmt>
  </rm>
  <rrc rId="16" sId="7" ref="A29:XFD29" action="deleteRow">
    <rfmt sheetId="7" xfDxf="1" sqref="A29:XFD29" start="0" length="0">
      <dxf>
        <fill>
          <patternFill patternType="solid">
            <bgColor theme="0"/>
          </patternFill>
        </fill>
      </dxf>
    </rfmt>
    <rcc rId="0" sId="7" dxf="1">
      <nc r="A29" t="inlineStr">
        <is>
          <t>Zwrot pomocy publicznej</t>
        </is>
      </nc>
      <ndxf>
        <font>
          <sz val="10"/>
          <color rgb="FF5E5E5E"/>
          <name val="Arial"/>
          <scheme val="none"/>
        </font>
        <alignment horizontal="left" vertical="center" indent="1" readingOrder="0"/>
      </ndxf>
    </rcc>
    <rcc rId="0" sId="7" dxf="1">
      <nc r="B29" t="inlineStr">
        <is>
          <t>40.3</t>
        </is>
      </nc>
      <ndxf>
        <font>
          <b/>
          <sz val="10"/>
          <color rgb="FF5E5E5E"/>
          <name val="Arial"/>
          <scheme val="none"/>
        </font>
        <alignment horizontal="center" vertical="top" readingOrder="0"/>
      </ndxf>
    </rcc>
  </rrc>
  <rcc rId="17" sId="7" numFmtId="4">
    <oc r="C7">
      <v>698923</v>
    </oc>
    <nc r="C7">
      <v>699070</v>
    </nc>
  </rcc>
  <rcc rId="18" sId="7" numFmtId="4">
    <oc r="C9">
      <v>10277</v>
    </oc>
    <nc r="C9">
      <v>10130</v>
    </nc>
  </rcc>
  <rfmt sheetId="7" sqref="C7 C9">
    <dxf>
      <fill>
        <patternFill>
          <bgColor theme="0"/>
        </patternFill>
      </fill>
    </dxf>
  </rfmt>
  <rcv guid="{874BA5F8-BD95-4DDF-8F31-98DB154CA965}" action="delete"/>
  <rcv guid="{874BA5F8-BD95-4DDF-8F31-98DB154CA965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" sId="8">
    <oc r="AC14">
      <f>AA14</f>
    </oc>
    <nc r="AC14">
      <f>AA14-'Rach. zysków i strat'!C13-'Rach. zysków i strat'!C14</f>
    </nc>
  </rcc>
  <rfmt sheetId="8" sqref="AC14">
    <dxf>
      <fill>
        <patternFill>
          <bgColor theme="0"/>
        </patternFill>
      </fill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" sId="8">
    <oc r="AC25">
      <f>AA25</f>
    </oc>
    <nc r="AC25">
      <f>AA25-'Rach. zysków i strat'!C21-'Rach. zysków i strat'!C25</f>
    </nc>
  </rcc>
  <rfmt sheetId="8" sqref="AC25">
    <dxf>
      <fill>
        <patternFill>
          <bgColor theme="0"/>
        </patternFill>
      </fill>
    </dxf>
  </rfmt>
  <rcc rId="21" sId="8">
    <oc r="AC23">
      <f>AA23</f>
    </oc>
    <nc r="AC23">
      <f>AA23-'Rach. zysków i strat'!C24-'Rach. zysków i strat'!C26</f>
    </nc>
  </rcc>
  <rfmt sheetId="8" sqref="AC23">
    <dxf>
      <fill>
        <patternFill>
          <bgColor theme="0"/>
        </patternFill>
      </fill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2C9B78FB-EA97-4B7A-B4EB-31966582E2AB}" name="Marcin Siwczyk" id="-914675751" dateTime="2016-08-16T14:48:12"/>
</user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BS22"/>
  <sheetViews>
    <sheetView workbookViewId="0">
      <selection activeCell="J11" sqref="J11"/>
    </sheetView>
  </sheetViews>
  <sheetFormatPr defaultRowHeight="15" x14ac:dyDescent="0.25"/>
  <cols>
    <col min="1" max="1" width="35.140625" style="12" customWidth="1"/>
    <col min="2" max="2" width="10.28515625" style="12" customWidth="1"/>
    <col min="3" max="3" width="2.7109375" style="12" customWidth="1"/>
    <col min="4" max="4" width="13.7109375" style="12" customWidth="1"/>
    <col min="5" max="5" width="2.7109375" style="12" customWidth="1"/>
    <col min="6" max="6" width="13.7109375" style="12" customWidth="1"/>
    <col min="7" max="7" width="5.42578125" style="12" customWidth="1"/>
    <col min="8" max="8" width="2.7109375" style="12" customWidth="1"/>
    <col min="9" max="9" width="9.140625" style="12"/>
    <col min="10" max="10" width="2.7109375" style="12" customWidth="1"/>
    <col min="11" max="11" width="9.140625" style="12"/>
    <col min="12" max="12" width="5.42578125" style="12" customWidth="1"/>
    <col min="13" max="13" width="9.140625" style="12"/>
    <col min="14" max="14" width="2.7109375" style="12" customWidth="1"/>
    <col min="15" max="15" width="9.140625" style="12"/>
    <col min="16" max="16" width="2.7109375" style="12" customWidth="1"/>
    <col min="17" max="17" width="10.28515625" style="12" bestFit="1" customWidth="1"/>
    <col min="18" max="18" width="2.7109375" style="12" customWidth="1"/>
    <col min="19" max="19" width="10.140625" style="12" bestFit="1" customWidth="1"/>
    <col min="20" max="20" width="2.7109375" style="12" customWidth="1"/>
    <col min="21" max="21" width="10.28515625" style="12" bestFit="1" customWidth="1"/>
    <col min="22" max="22" width="2.7109375" style="12" customWidth="1"/>
    <col min="23" max="23" width="9.140625" style="12"/>
    <col min="24" max="24" width="2.7109375" style="12" customWidth="1"/>
    <col min="25" max="25" width="10.140625" style="12" bestFit="1" customWidth="1"/>
    <col min="26" max="26" width="2.7109375" style="12" customWidth="1"/>
    <col min="27" max="27" width="10.140625" style="12" bestFit="1" customWidth="1"/>
    <col min="28" max="28" width="2.7109375" style="12" customWidth="1"/>
    <col min="29" max="29" width="9.140625" style="12"/>
    <col min="30" max="30" width="2.7109375" style="12" customWidth="1"/>
    <col min="31" max="31" width="9.140625" style="12"/>
    <col min="32" max="32" width="2.7109375" style="12" customWidth="1"/>
    <col min="33" max="33" width="9.140625" style="12"/>
    <col min="34" max="34" width="2.7109375" style="12" customWidth="1"/>
    <col min="35" max="35" width="9.140625" style="12"/>
    <col min="36" max="36" width="2.7109375" style="12" customWidth="1"/>
    <col min="37" max="37" width="9.140625" style="12"/>
    <col min="38" max="38" width="2.7109375" style="12" customWidth="1"/>
    <col min="39" max="39" width="9.140625" style="12"/>
    <col min="40" max="40" width="2.7109375" style="12" customWidth="1"/>
    <col min="41" max="41" width="9.140625" style="12"/>
    <col min="42" max="42" width="2.7109375" style="12" customWidth="1"/>
    <col min="43" max="43" width="9.140625" style="12"/>
    <col min="44" max="44" width="2.7109375" style="12" customWidth="1"/>
    <col min="45" max="45" width="10.140625" style="12" bestFit="1" customWidth="1"/>
    <col min="46" max="46" width="2.7109375" style="12" customWidth="1"/>
    <col min="47" max="47" width="10.140625" style="12" bestFit="1" customWidth="1"/>
    <col min="48" max="48" width="2.7109375" style="12" customWidth="1"/>
    <col min="49" max="49" width="9.140625" style="12"/>
    <col min="50" max="50" width="2.7109375" style="12" customWidth="1"/>
    <col min="51" max="51" width="9.140625" style="12"/>
    <col min="52" max="52" width="2.7109375" style="12" customWidth="1"/>
    <col min="53" max="53" width="10.140625" style="12" bestFit="1" customWidth="1"/>
    <col min="54" max="54" width="2.7109375" style="12" customWidth="1"/>
    <col min="55" max="55" width="10.140625" style="12" bestFit="1" customWidth="1"/>
    <col min="56" max="56" width="2.7109375" style="12" customWidth="1"/>
    <col min="57" max="57" width="9.140625" style="12"/>
    <col min="58" max="58" width="2.7109375" style="12" customWidth="1"/>
    <col min="59" max="59" width="9.140625" style="12"/>
    <col min="60" max="60" width="2.7109375" style="12" customWidth="1"/>
    <col min="61" max="61" width="9.140625" style="12"/>
    <col min="62" max="62" width="2.7109375" style="12" customWidth="1"/>
    <col min="63" max="63" width="9.140625" style="12"/>
    <col min="64" max="64" width="2.7109375" style="12" customWidth="1"/>
    <col min="65" max="65" width="9.140625" style="12"/>
    <col min="66" max="66" width="2.7109375" style="12" customWidth="1"/>
    <col min="67" max="67" width="9.140625" style="12"/>
    <col min="68" max="68" width="2.7109375" style="12" customWidth="1"/>
    <col min="69" max="69" width="9.140625" style="12"/>
    <col min="70" max="70" width="2.7109375" style="12" customWidth="1"/>
    <col min="71" max="16384" width="9.140625" style="12"/>
  </cols>
  <sheetData>
    <row r="1" spans="1:71" ht="20.25" x14ac:dyDescent="0.25">
      <c r="A1" s="1" t="s">
        <v>0</v>
      </c>
      <c r="B1" s="2"/>
      <c r="C1" s="3"/>
      <c r="D1" s="3"/>
      <c r="E1" s="4"/>
      <c r="F1" s="3"/>
      <c r="G1" s="3"/>
      <c r="H1" s="3"/>
      <c r="I1" s="3"/>
      <c r="J1" s="4"/>
      <c r="K1" s="3"/>
      <c r="L1" s="3"/>
      <c r="M1" s="3"/>
      <c r="N1" s="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3"/>
      <c r="AB1" s="4"/>
      <c r="AC1" s="3"/>
      <c r="AD1" s="4"/>
      <c r="AE1" s="3"/>
      <c r="AF1" s="4"/>
      <c r="AG1" s="3"/>
      <c r="AH1" s="4"/>
      <c r="AI1" s="3"/>
      <c r="AJ1" s="4"/>
      <c r="AK1" s="3"/>
      <c r="AL1" s="4"/>
      <c r="AM1" s="3"/>
      <c r="AN1" s="4"/>
      <c r="AO1" s="3"/>
      <c r="AP1" s="4"/>
      <c r="AQ1" s="3"/>
      <c r="AR1" s="4"/>
      <c r="AS1" s="5"/>
      <c r="AT1" s="4"/>
      <c r="AU1" s="5"/>
      <c r="AV1" s="4"/>
      <c r="AW1" s="5"/>
      <c r="AX1" s="4"/>
      <c r="AY1" s="5"/>
      <c r="AZ1" s="5"/>
      <c r="BA1" s="5"/>
      <c r="BB1" s="5"/>
      <c r="BC1" s="5"/>
      <c r="BD1" s="5"/>
      <c r="BE1" s="5"/>
      <c r="BF1" s="5"/>
      <c r="BG1" s="5"/>
      <c r="BH1" s="5"/>
      <c r="BI1" s="6"/>
      <c r="BJ1" s="7"/>
      <c r="BK1" s="7"/>
      <c r="BL1" s="7"/>
      <c r="BM1" s="6"/>
      <c r="BN1" s="7"/>
      <c r="BO1" s="7"/>
      <c r="BP1" s="7"/>
      <c r="BQ1" s="6"/>
      <c r="BR1" s="7"/>
      <c r="BS1" s="7"/>
    </row>
    <row r="2" spans="1:71" ht="51" x14ac:dyDescent="0.25">
      <c r="A2" s="8"/>
      <c r="B2" s="9" t="s">
        <v>1</v>
      </c>
      <c r="C2" s="4"/>
      <c r="D2" s="10" t="s">
        <v>537</v>
      </c>
      <c r="E2" s="11"/>
      <c r="F2" s="9" t="s">
        <v>538</v>
      </c>
      <c r="G2" s="4"/>
      <c r="H2" s="4"/>
      <c r="I2" s="10" t="s">
        <v>535</v>
      </c>
      <c r="J2" s="11"/>
      <c r="K2" s="9" t="s">
        <v>536</v>
      </c>
      <c r="L2" s="4"/>
      <c r="M2" s="10" t="s">
        <v>2</v>
      </c>
      <c r="N2" s="11"/>
      <c r="O2" s="9" t="s">
        <v>3</v>
      </c>
      <c r="P2" s="4"/>
      <c r="Q2" s="9" t="s">
        <v>4</v>
      </c>
      <c r="R2" s="4"/>
      <c r="S2" s="9" t="s">
        <v>5</v>
      </c>
      <c r="T2" s="4"/>
      <c r="U2" s="9" t="s">
        <v>6</v>
      </c>
      <c r="V2" s="11"/>
      <c r="W2" s="9" t="s">
        <v>7</v>
      </c>
      <c r="X2" s="4"/>
      <c r="Y2" s="9" t="s">
        <v>8</v>
      </c>
      <c r="AA2" s="9" t="s">
        <v>9</v>
      </c>
      <c r="AB2" s="11"/>
      <c r="AC2" s="9" t="s">
        <v>10</v>
      </c>
      <c r="AD2" s="11"/>
      <c r="AE2" s="9" t="s">
        <v>11</v>
      </c>
      <c r="AF2" s="11"/>
      <c r="AG2" s="9" t="s">
        <v>12</v>
      </c>
      <c r="AH2" s="11"/>
      <c r="AI2" s="9" t="s">
        <v>13</v>
      </c>
      <c r="AJ2" s="11"/>
      <c r="AK2" s="9" t="s">
        <v>14</v>
      </c>
      <c r="AL2" s="11"/>
      <c r="AM2" s="9" t="s">
        <v>15</v>
      </c>
      <c r="AN2" s="11"/>
      <c r="AO2" s="9" t="s">
        <v>16</v>
      </c>
      <c r="AP2" s="11"/>
      <c r="AQ2" s="9" t="s">
        <v>17</v>
      </c>
      <c r="AR2" s="11"/>
      <c r="AS2" s="9" t="s">
        <v>5</v>
      </c>
      <c r="AT2" s="11"/>
      <c r="AU2" s="9" t="s">
        <v>18</v>
      </c>
      <c r="AV2" s="11"/>
      <c r="AW2" s="9" t="s">
        <v>7</v>
      </c>
      <c r="AX2" s="13"/>
      <c r="AY2" s="9" t="s">
        <v>19</v>
      </c>
      <c r="AZ2" s="4"/>
      <c r="BA2" s="9" t="s">
        <v>9</v>
      </c>
      <c r="BB2" s="13"/>
      <c r="BC2" s="9" t="s">
        <v>20</v>
      </c>
      <c r="BD2" s="13"/>
      <c r="BE2" s="9" t="s">
        <v>21</v>
      </c>
      <c r="BF2" s="13"/>
      <c r="BG2" s="9" t="s">
        <v>22</v>
      </c>
      <c r="BH2" s="13"/>
      <c r="BI2" s="9" t="s">
        <v>23</v>
      </c>
      <c r="BK2" s="9" t="s">
        <v>24</v>
      </c>
      <c r="BM2" s="9" t="s">
        <v>25</v>
      </c>
      <c r="BN2" s="13"/>
      <c r="BO2" s="9" t="s">
        <v>26</v>
      </c>
      <c r="BP2" s="13"/>
      <c r="BQ2" s="9" t="s">
        <v>27</v>
      </c>
      <c r="BS2" s="9" t="s">
        <v>28</v>
      </c>
    </row>
    <row r="3" spans="1:71" x14ac:dyDescent="0.25">
      <c r="A3" s="14" t="s">
        <v>29</v>
      </c>
      <c r="B3" s="15" t="s">
        <v>30</v>
      </c>
      <c r="C3" s="16"/>
      <c r="D3" s="17">
        <v>8942857</v>
      </c>
      <c r="E3" s="18"/>
      <c r="F3" s="19">
        <v>9256614</v>
      </c>
      <c r="G3" s="16"/>
      <c r="H3" s="16"/>
      <c r="I3" s="17">
        <v>4295822</v>
      </c>
      <c r="J3" s="18"/>
      <c r="K3" s="19">
        <v>4466828</v>
      </c>
      <c r="L3" s="16"/>
      <c r="M3" s="17">
        <v>4647035</v>
      </c>
      <c r="N3" s="18"/>
      <c r="O3" s="19">
        <v>4789786</v>
      </c>
      <c r="P3" s="16"/>
      <c r="Q3" s="19">
        <v>18375224</v>
      </c>
      <c r="R3" s="16"/>
      <c r="S3" s="19">
        <v>18577479</v>
      </c>
      <c r="T3" s="16"/>
      <c r="U3" s="19">
        <v>4740983</v>
      </c>
      <c r="V3" s="16"/>
      <c r="W3" s="19">
        <v>4859798</v>
      </c>
      <c r="X3" s="16"/>
      <c r="Y3" s="19">
        <v>13634241</v>
      </c>
      <c r="Z3" s="18"/>
      <c r="AA3" s="19">
        <v>13717681</v>
      </c>
      <c r="AB3" s="18"/>
      <c r="AC3" s="19">
        <v>4377627</v>
      </c>
      <c r="AD3" s="18"/>
      <c r="AE3" s="19">
        <v>4412231</v>
      </c>
      <c r="AF3" s="18"/>
      <c r="AG3" s="19">
        <v>9184291</v>
      </c>
      <c r="AH3" s="18"/>
      <c r="AI3" s="19">
        <v>9226315</v>
      </c>
      <c r="AJ3" s="18"/>
      <c r="AK3" s="19">
        <v>4430475</v>
      </c>
      <c r="AL3" s="18"/>
      <c r="AM3" s="19">
        <v>4339051</v>
      </c>
      <c r="AN3" s="18"/>
      <c r="AO3" s="19">
        <v>4753816</v>
      </c>
      <c r="AP3" s="18"/>
      <c r="AQ3" s="19">
        <v>4887264</v>
      </c>
      <c r="AR3" s="18"/>
      <c r="AS3" s="19">
        <v>18440763</v>
      </c>
      <c r="AT3" s="18"/>
      <c r="AU3" s="19">
        <v>19131122</v>
      </c>
      <c r="AV3" s="18"/>
      <c r="AW3" s="19">
        <v>4837662</v>
      </c>
      <c r="AX3" s="18"/>
      <c r="AY3" s="19">
        <v>4917418</v>
      </c>
      <c r="AZ3" s="11"/>
      <c r="BA3" s="19">
        <v>13603101</v>
      </c>
      <c r="BB3" s="13"/>
      <c r="BC3" s="19">
        <v>14213704</v>
      </c>
      <c r="BD3" s="13"/>
      <c r="BE3" s="19">
        <v>4376786</v>
      </c>
      <c r="BF3" s="13"/>
      <c r="BG3" s="19">
        <v>4540102</v>
      </c>
      <c r="BH3" s="13"/>
      <c r="BI3" s="19">
        <v>9226315</v>
      </c>
      <c r="BK3" s="19">
        <v>9706524</v>
      </c>
      <c r="BM3" s="19">
        <v>4339051</v>
      </c>
      <c r="BN3" s="13"/>
      <c r="BO3" s="19">
        <v>4542422</v>
      </c>
      <c r="BP3" s="13"/>
      <c r="BQ3" s="19">
        <v>4887264</v>
      </c>
      <c r="BS3" s="19">
        <v>5164102</v>
      </c>
    </row>
    <row r="4" spans="1:71" x14ac:dyDescent="0.25">
      <c r="A4" s="20" t="s">
        <v>31</v>
      </c>
      <c r="B4" s="16" t="s">
        <v>30</v>
      </c>
      <c r="C4" s="16"/>
      <c r="D4" s="21">
        <v>1653406</v>
      </c>
      <c r="E4" s="18"/>
      <c r="F4" s="22">
        <v>1907872</v>
      </c>
      <c r="G4" s="16"/>
      <c r="H4" s="16"/>
      <c r="I4" s="21">
        <v>780493</v>
      </c>
      <c r="J4" s="18"/>
      <c r="K4" s="22">
        <v>892937</v>
      </c>
      <c r="L4" s="16"/>
      <c r="M4" s="21">
        <v>872913</v>
      </c>
      <c r="N4" s="18"/>
      <c r="O4" s="22">
        <v>1014935</v>
      </c>
      <c r="P4" s="16"/>
      <c r="Q4" s="22">
        <v>3523303</v>
      </c>
      <c r="R4" s="16"/>
      <c r="S4" s="22">
        <v>3694544</v>
      </c>
      <c r="T4" s="16"/>
      <c r="U4" s="22">
        <v>682227</v>
      </c>
      <c r="V4" s="16"/>
      <c r="W4" s="22">
        <v>769168</v>
      </c>
      <c r="X4" s="16"/>
      <c r="Y4" s="22">
        <v>2841076</v>
      </c>
      <c r="Z4" s="18"/>
      <c r="AA4" s="22">
        <v>2925376</v>
      </c>
      <c r="AB4" s="18"/>
      <c r="AC4" s="22">
        <v>933204</v>
      </c>
      <c r="AD4" s="18"/>
      <c r="AE4" s="22">
        <v>920761</v>
      </c>
      <c r="AF4" s="18"/>
      <c r="AG4" s="22">
        <v>1914860</v>
      </c>
      <c r="AH4" s="18"/>
      <c r="AI4" s="22">
        <v>1994598</v>
      </c>
      <c r="AJ4" s="18"/>
      <c r="AK4" s="22">
        <v>894004</v>
      </c>
      <c r="AL4" s="18"/>
      <c r="AM4" s="22">
        <v>906390</v>
      </c>
      <c r="AN4" s="18"/>
      <c r="AO4" s="22">
        <v>1020856</v>
      </c>
      <c r="AP4" s="18"/>
      <c r="AQ4" s="22">
        <v>1088208</v>
      </c>
      <c r="AR4" s="18"/>
      <c r="AS4" s="22">
        <v>3627100</v>
      </c>
      <c r="AT4" s="18"/>
      <c r="AU4" s="22">
        <v>3661484</v>
      </c>
      <c r="AV4" s="18"/>
      <c r="AW4" s="22">
        <v>711791</v>
      </c>
      <c r="AX4" s="18"/>
      <c r="AY4" s="22">
        <v>660767</v>
      </c>
      <c r="AZ4" s="18"/>
      <c r="BA4" s="22">
        <v>2915309</v>
      </c>
      <c r="BB4" s="13"/>
      <c r="BC4" s="22">
        <v>3000717</v>
      </c>
      <c r="BD4" s="13"/>
      <c r="BE4" s="22">
        <v>920711</v>
      </c>
      <c r="BF4" s="13"/>
      <c r="BG4" s="22">
        <v>947054</v>
      </c>
      <c r="BH4" s="13"/>
      <c r="BI4" s="22">
        <v>1994598</v>
      </c>
      <c r="BK4" s="22">
        <v>2053663</v>
      </c>
      <c r="BM4" s="22">
        <v>906390</v>
      </c>
      <c r="BN4" s="13"/>
      <c r="BO4" s="22">
        <v>831507</v>
      </c>
      <c r="BP4" s="13"/>
      <c r="BQ4" s="22">
        <v>1088208</v>
      </c>
      <c r="BS4" s="22">
        <v>1222156</v>
      </c>
    </row>
    <row r="5" spans="1:71" x14ac:dyDescent="0.25">
      <c r="A5" s="20" t="s">
        <v>32</v>
      </c>
      <c r="B5" s="16" t="s">
        <v>30</v>
      </c>
      <c r="C5" s="16"/>
      <c r="D5" s="21">
        <v>4717</v>
      </c>
      <c r="E5" s="18"/>
      <c r="F5" s="22">
        <v>718524</v>
      </c>
      <c r="G5" s="16"/>
      <c r="H5" s="16"/>
      <c r="I5" s="377">
        <v>-319089</v>
      </c>
      <c r="J5" s="18"/>
      <c r="K5" s="22">
        <v>216481</v>
      </c>
      <c r="L5" s="16"/>
      <c r="M5" s="21">
        <v>323806</v>
      </c>
      <c r="N5" s="18"/>
      <c r="O5" s="22">
        <v>502730</v>
      </c>
      <c r="P5" s="16"/>
      <c r="Q5" s="23">
        <v>-1804215</v>
      </c>
      <c r="R5" s="16"/>
      <c r="S5" s="22">
        <v>1185560</v>
      </c>
      <c r="T5" s="16"/>
      <c r="U5" s="23">
        <v>-2883370</v>
      </c>
      <c r="V5" s="16"/>
      <c r="W5" s="22">
        <v>132502</v>
      </c>
      <c r="X5" s="16"/>
      <c r="Y5" s="22">
        <v>1079155</v>
      </c>
      <c r="Z5" s="18"/>
      <c r="AA5" s="22">
        <v>1053058</v>
      </c>
      <c r="AB5" s="18"/>
      <c r="AC5" s="22">
        <v>358768</v>
      </c>
      <c r="AD5" s="18"/>
      <c r="AE5" s="22">
        <v>319136</v>
      </c>
      <c r="AF5" s="18"/>
      <c r="AG5" s="22">
        <v>720387</v>
      </c>
      <c r="AH5" s="18"/>
      <c r="AI5" s="22">
        <v>733922</v>
      </c>
      <c r="AJ5" s="18"/>
      <c r="AK5" s="22">
        <v>217657</v>
      </c>
      <c r="AL5" s="18"/>
      <c r="AM5" s="22">
        <v>335236</v>
      </c>
      <c r="AN5" s="18"/>
      <c r="AO5" s="22">
        <v>502730</v>
      </c>
      <c r="AP5" s="18"/>
      <c r="AQ5" s="22">
        <v>398686</v>
      </c>
      <c r="AR5" s="18"/>
      <c r="AS5" s="22">
        <v>1185560</v>
      </c>
      <c r="AT5" s="18"/>
      <c r="AU5" s="22">
        <v>1346485</v>
      </c>
      <c r="AV5" s="18"/>
      <c r="AW5" s="22">
        <v>283172</v>
      </c>
      <c r="AX5" s="18"/>
      <c r="AY5" s="22">
        <v>220690</v>
      </c>
      <c r="AZ5" s="18"/>
      <c r="BA5" s="22">
        <v>1053058</v>
      </c>
      <c r="BB5" s="13"/>
      <c r="BC5" s="22">
        <v>1264187</v>
      </c>
      <c r="BD5" s="13"/>
      <c r="BE5" s="22">
        <v>319136</v>
      </c>
      <c r="BF5" s="13"/>
      <c r="BG5" s="22">
        <v>372305</v>
      </c>
      <c r="BH5" s="13"/>
      <c r="BI5" s="22">
        <v>733922</v>
      </c>
      <c r="BK5" s="22">
        <v>891882</v>
      </c>
      <c r="BM5" s="22">
        <v>335236</v>
      </c>
      <c r="BN5" s="13"/>
      <c r="BO5" s="22">
        <v>311084</v>
      </c>
      <c r="BP5" s="13"/>
      <c r="BQ5" s="22">
        <v>398686</v>
      </c>
      <c r="BS5" s="22">
        <v>580798</v>
      </c>
    </row>
    <row r="6" spans="1:71" x14ac:dyDescent="0.25">
      <c r="A6" s="20" t="s">
        <v>33</v>
      </c>
      <c r="B6" s="16" t="s">
        <v>30</v>
      </c>
      <c r="C6" s="16"/>
      <c r="D6" s="21">
        <v>1452130</v>
      </c>
      <c r="E6" s="18"/>
      <c r="F6" s="22">
        <v>1770727</v>
      </c>
      <c r="G6" s="16"/>
      <c r="H6" s="16"/>
      <c r="I6" s="21">
        <v>798407</v>
      </c>
      <c r="J6" s="18"/>
      <c r="K6" s="22">
        <v>979049</v>
      </c>
      <c r="L6" s="16"/>
      <c r="M6" s="21">
        <v>653723</v>
      </c>
      <c r="N6" s="18"/>
      <c r="O6" s="22">
        <v>791678</v>
      </c>
      <c r="P6" s="16"/>
      <c r="Q6" s="22">
        <v>4175470</v>
      </c>
      <c r="R6" s="16"/>
      <c r="S6" s="22">
        <v>3089592</v>
      </c>
      <c r="T6" s="16"/>
      <c r="U6" s="22">
        <v>1396598</v>
      </c>
      <c r="V6" s="16"/>
      <c r="W6" s="22">
        <v>1079388</v>
      </c>
      <c r="X6" s="16"/>
      <c r="Y6" s="22">
        <v>2778872</v>
      </c>
      <c r="Z6" s="18"/>
      <c r="AA6" s="22">
        <v>2010204</v>
      </c>
      <c r="AB6" s="18"/>
      <c r="AC6" s="22">
        <v>1008145</v>
      </c>
      <c r="AD6" s="18"/>
      <c r="AE6" s="22">
        <v>760127</v>
      </c>
      <c r="AF6" s="18"/>
      <c r="AG6" s="22">
        <v>1770727</v>
      </c>
      <c r="AH6" s="18"/>
      <c r="AI6" s="22">
        <v>1250077</v>
      </c>
      <c r="AJ6" s="18"/>
      <c r="AK6" s="22">
        <v>979049</v>
      </c>
      <c r="AL6" s="18"/>
      <c r="AM6" s="22">
        <v>684767</v>
      </c>
      <c r="AN6" s="18"/>
      <c r="AO6" s="22">
        <v>791678</v>
      </c>
      <c r="AP6" s="18"/>
      <c r="AQ6" s="22">
        <v>565310</v>
      </c>
      <c r="AR6" s="18"/>
      <c r="AS6" s="22">
        <v>3089592</v>
      </c>
      <c r="AT6" s="24"/>
      <c r="AU6" s="22">
        <v>3779555</v>
      </c>
      <c r="AV6" s="24"/>
      <c r="AW6" s="22">
        <v>1079388</v>
      </c>
      <c r="AX6" s="24"/>
      <c r="AY6" s="22">
        <v>1411162</v>
      </c>
      <c r="AZ6" s="18"/>
      <c r="BA6" s="22">
        <v>2010204</v>
      </c>
      <c r="BB6" s="13"/>
      <c r="BC6" s="22">
        <v>2368393</v>
      </c>
      <c r="BD6" s="13"/>
      <c r="BE6" s="22">
        <v>760127</v>
      </c>
      <c r="BF6" s="13"/>
      <c r="BG6" s="22">
        <v>1018451</v>
      </c>
      <c r="BH6" s="13"/>
      <c r="BI6" s="22">
        <v>1250077</v>
      </c>
      <c r="BK6" s="22">
        <v>1349942</v>
      </c>
      <c r="BM6" s="22">
        <v>684767</v>
      </c>
      <c r="BN6" s="13"/>
      <c r="BO6" s="22">
        <v>809087</v>
      </c>
      <c r="BP6" s="13"/>
      <c r="BQ6" s="22">
        <v>565310</v>
      </c>
      <c r="BS6" s="22">
        <v>540855</v>
      </c>
    </row>
    <row r="7" spans="1:71" x14ac:dyDescent="0.25">
      <c r="A7" s="25" t="s">
        <v>34</v>
      </c>
      <c r="B7" s="26"/>
      <c r="C7" s="26"/>
      <c r="D7" s="27">
        <v>2.577</v>
      </c>
      <c r="E7" s="28"/>
      <c r="F7" s="29">
        <v>1.97</v>
      </c>
      <c r="G7" s="26"/>
      <c r="H7" s="26"/>
      <c r="I7" s="27">
        <v>2.577</v>
      </c>
      <c r="J7" s="28"/>
      <c r="K7" s="29">
        <v>1.97</v>
      </c>
      <c r="L7" s="26"/>
      <c r="M7" s="27">
        <v>2.5</v>
      </c>
      <c r="N7" s="28"/>
      <c r="O7" s="29">
        <v>1.91</v>
      </c>
      <c r="P7" s="26"/>
      <c r="Q7" s="29">
        <v>2.2000000000000002</v>
      </c>
      <c r="R7" s="24"/>
      <c r="S7" s="29">
        <v>1.8</v>
      </c>
      <c r="T7" s="16"/>
      <c r="U7" s="29">
        <v>2.2000000000000002</v>
      </c>
      <c r="V7" s="16"/>
      <c r="W7" s="29">
        <v>1.8</v>
      </c>
      <c r="X7" s="16"/>
      <c r="Y7" s="29">
        <v>1.97</v>
      </c>
      <c r="Z7" s="28"/>
      <c r="AA7" s="29">
        <v>1.73</v>
      </c>
      <c r="AB7" s="28"/>
      <c r="AC7" s="29">
        <v>1.97</v>
      </c>
      <c r="AD7" s="28"/>
      <c r="AE7" s="29">
        <v>1.73</v>
      </c>
      <c r="AF7" s="28"/>
      <c r="AG7" s="29">
        <v>1.9349940723994377</v>
      </c>
      <c r="AH7" s="28"/>
      <c r="AI7" s="29">
        <v>1.68</v>
      </c>
      <c r="AJ7" s="28"/>
      <c r="AK7" s="29">
        <v>1.9349940723994377</v>
      </c>
      <c r="AL7" s="28"/>
      <c r="AM7" s="29">
        <v>1.68</v>
      </c>
      <c r="AN7" s="28"/>
      <c r="AO7" s="29">
        <v>1.91</v>
      </c>
      <c r="AP7" s="28"/>
      <c r="AQ7" s="29">
        <v>1.68</v>
      </c>
      <c r="AR7" s="28"/>
      <c r="AS7" s="29">
        <v>1.85</v>
      </c>
      <c r="AT7" s="28"/>
      <c r="AU7" s="29">
        <v>1.43</v>
      </c>
      <c r="AV7" s="28"/>
      <c r="AW7" s="29">
        <v>1.85</v>
      </c>
      <c r="AX7" s="28"/>
      <c r="AY7" s="29">
        <v>1.43</v>
      </c>
      <c r="AZ7" s="24"/>
      <c r="BA7" s="29">
        <v>1.7279887062185715</v>
      </c>
      <c r="BB7" s="13"/>
      <c r="BC7" s="29">
        <v>1.1851646020713575</v>
      </c>
      <c r="BD7" s="13"/>
      <c r="BE7" s="29">
        <v>1.7279887062185715</v>
      </c>
      <c r="BF7" s="13"/>
      <c r="BG7" s="29">
        <v>1.1851646020713575</v>
      </c>
      <c r="BH7" s="13"/>
      <c r="BI7" s="29">
        <v>1.68</v>
      </c>
      <c r="BK7" s="29">
        <v>1.31</v>
      </c>
      <c r="BM7" s="29">
        <v>1.68</v>
      </c>
      <c r="BN7" s="13"/>
      <c r="BO7" s="29">
        <v>1.31</v>
      </c>
      <c r="BP7" s="13"/>
      <c r="BQ7" s="29">
        <v>1.68</v>
      </c>
      <c r="BS7" s="29">
        <v>1.33</v>
      </c>
    </row>
    <row r="8" spans="1:71" x14ac:dyDescent="0.25">
      <c r="A8" s="8"/>
      <c r="B8" s="30"/>
      <c r="C8" s="30"/>
      <c r="D8" s="30"/>
      <c r="E8" s="28"/>
      <c r="F8" s="30"/>
      <c r="G8" s="30"/>
      <c r="H8" s="30"/>
      <c r="I8" s="30"/>
      <c r="J8" s="28"/>
      <c r="K8" s="30"/>
      <c r="L8" s="30"/>
      <c r="M8" s="30"/>
      <c r="N8" s="28"/>
      <c r="O8" s="30"/>
      <c r="P8" s="30"/>
      <c r="Q8" s="30"/>
      <c r="R8" s="16"/>
      <c r="S8" s="30"/>
      <c r="T8" s="16"/>
      <c r="U8" s="30"/>
      <c r="V8" s="16"/>
      <c r="W8" s="30"/>
      <c r="X8" s="16"/>
      <c r="Y8" s="30"/>
      <c r="Z8" s="28"/>
      <c r="AA8" s="30"/>
      <c r="AB8" s="28"/>
      <c r="AC8" s="30"/>
      <c r="AD8" s="28"/>
      <c r="AE8" s="30"/>
      <c r="AF8" s="28"/>
      <c r="AG8" s="30"/>
      <c r="AH8" s="28"/>
      <c r="AI8" s="30"/>
      <c r="AJ8" s="28"/>
      <c r="AK8" s="30"/>
      <c r="AL8" s="28"/>
      <c r="AM8" s="30"/>
      <c r="AN8" s="28"/>
      <c r="AO8" s="30"/>
      <c r="AP8" s="28"/>
      <c r="AQ8" s="30"/>
      <c r="AR8" s="28"/>
      <c r="AS8" s="31"/>
      <c r="AT8" s="28"/>
      <c r="AU8" s="31"/>
      <c r="AV8" s="28"/>
      <c r="AW8" s="31"/>
      <c r="AX8" s="28"/>
      <c r="AY8" s="31"/>
      <c r="AZ8" s="28"/>
      <c r="BA8" s="31"/>
      <c r="BB8" s="13"/>
      <c r="BC8" s="31"/>
      <c r="BD8" s="13"/>
      <c r="BE8" s="31"/>
      <c r="BF8" s="13"/>
      <c r="BG8" s="31"/>
      <c r="BH8" s="13"/>
      <c r="BI8" s="31"/>
      <c r="BK8" s="31"/>
      <c r="BM8" s="31"/>
      <c r="BN8" s="13"/>
      <c r="BO8" s="31"/>
      <c r="BP8" s="13"/>
      <c r="BQ8" s="31"/>
      <c r="BS8" s="31"/>
    </row>
    <row r="9" spans="1:71" x14ac:dyDescent="0.25">
      <c r="A9" s="8"/>
      <c r="B9" s="30"/>
      <c r="C9" s="30"/>
      <c r="D9" s="30"/>
      <c r="E9" s="11"/>
      <c r="F9" s="30"/>
      <c r="G9" s="30"/>
      <c r="H9" s="30"/>
      <c r="I9" s="30"/>
      <c r="J9" s="11"/>
      <c r="K9" s="30"/>
      <c r="L9" s="30"/>
      <c r="M9" s="30"/>
      <c r="N9" s="11"/>
      <c r="O9" s="30"/>
      <c r="P9" s="30"/>
      <c r="Q9" s="30"/>
      <c r="R9" s="16"/>
      <c r="S9" s="30"/>
      <c r="T9" s="16"/>
      <c r="U9" s="30"/>
      <c r="V9" s="16"/>
      <c r="W9" s="30"/>
      <c r="X9" s="16"/>
      <c r="Y9" s="30"/>
      <c r="Z9" s="11"/>
      <c r="AA9" s="30"/>
      <c r="AB9" s="11"/>
      <c r="AC9" s="30"/>
      <c r="AD9" s="11"/>
      <c r="AE9" s="30"/>
      <c r="AF9" s="11"/>
      <c r="AG9" s="30"/>
      <c r="AH9" s="11"/>
      <c r="AI9" s="30"/>
      <c r="AJ9" s="11"/>
      <c r="AK9" s="30"/>
      <c r="AL9" s="11"/>
      <c r="AM9" s="30"/>
      <c r="AN9" s="11"/>
      <c r="AO9" s="30"/>
      <c r="AP9" s="11"/>
      <c r="AQ9" s="30"/>
      <c r="AR9" s="11"/>
      <c r="AS9" s="31"/>
      <c r="AT9" s="11"/>
      <c r="AU9" s="31"/>
      <c r="AV9" s="11"/>
      <c r="AW9" s="31"/>
      <c r="AX9" s="11"/>
      <c r="AY9" s="31"/>
      <c r="AZ9" s="28"/>
      <c r="BA9" s="31"/>
      <c r="BB9" s="13"/>
      <c r="BC9" s="31"/>
      <c r="BD9" s="13"/>
      <c r="BE9" s="31"/>
      <c r="BF9" s="13"/>
      <c r="BG9" s="31"/>
      <c r="BH9" s="13"/>
      <c r="BI9" s="31"/>
      <c r="BK9" s="31"/>
      <c r="BM9" s="31"/>
      <c r="BN9" s="13"/>
      <c r="BO9" s="31"/>
      <c r="BP9" s="13"/>
      <c r="BQ9" s="31"/>
      <c r="BS9" s="31"/>
    </row>
    <row r="10" spans="1:71" x14ac:dyDescent="0.25">
      <c r="A10" s="20"/>
      <c r="B10" s="16"/>
      <c r="C10" s="16"/>
      <c r="D10" s="16"/>
      <c r="E10" s="32"/>
      <c r="F10" s="16"/>
      <c r="G10" s="16"/>
      <c r="H10" s="16"/>
      <c r="I10" s="16"/>
      <c r="J10" s="32"/>
      <c r="K10" s="16"/>
      <c r="L10" s="16"/>
      <c r="M10" s="16"/>
      <c r="N10" s="32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32"/>
      <c r="AA10" s="16"/>
      <c r="AB10" s="32"/>
      <c r="AC10" s="16"/>
      <c r="AD10" s="32"/>
      <c r="AE10" s="16"/>
      <c r="AF10" s="32"/>
      <c r="AG10" s="16"/>
      <c r="AH10" s="32"/>
      <c r="AI10" s="16"/>
      <c r="AJ10" s="32"/>
      <c r="AK10" s="16"/>
      <c r="AL10" s="32"/>
      <c r="AM10" s="16"/>
      <c r="AN10" s="32"/>
      <c r="AO10" s="16"/>
      <c r="AP10" s="32"/>
      <c r="AQ10" s="16"/>
      <c r="AR10" s="32"/>
      <c r="AS10" s="11"/>
      <c r="AT10" s="32"/>
      <c r="AU10" s="11"/>
      <c r="AV10" s="32"/>
      <c r="AW10" s="11"/>
      <c r="AX10" s="32"/>
      <c r="AY10" s="11"/>
      <c r="AZ10" s="11"/>
      <c r="BA10" s="11"/>
      <c r="BB10" s="33"/>
      <c r="BC10" s="11"/>
      <c r="BD10" s="33"/>
      <c r="BE10" s="11"/>
      <c r="BF10" s="33"/>
      <c r="BG10" s="11"/>
      <c r="BH10" s="33"/>
      <c r="BI10" s="11"/>
      <c r="BJ10" s="34"/>
      <c r="BK10" s="11"/>
      <c r="BL10" s="34"/>
      <c r="BM10" s="11"/>
      <c r="BN10" s="33"/>
      <c r="BO10" s="11"/>
      <c r="BP10" s="33"/>
      <c r="BQ10" s="11"/>
      <c r="BR10" s="34"/>
      <c r="BS10" s="11"/>
    </row>
    <row r="11" spans="1:71" x14ac:dyDescent="0.25">
      <c r="A11" s="20"/>
      <c r="B11" s="16"/>
      <c r="C11" s="16"/>
      <c r="D11" s="16"/>
      <c r="E11" s="18"/>
      <c r="F11" s="16"/>
      <c r="G11" s="16"/>
      <c r="H11" s="16"/>
      <c r="I11" s="16"/>
      <c r="J11" s="18"/>
      <c r="K11" s="16"/>
      <c r="L11" s="16"/>
      <c r="M11" s="16"/>
      <c r="N11" s="18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8"/>
      <c r="AA11" s="16"/>
      <c r="AB11" s="18"/>
      <c r="AC11" s="16"/>
      <c r="AD11" s="18"/>
      <c r="AE11" s="16"/>
      <c r="AF11" s="18"/>
      <c r="AG11" s="16"/>
      <c r="AH11" s="18"/>
      <c r="AI11" s="16"/>
      <c r="AJ11" s="18"/>
      <c r="AK11" s="16"/>
      <c r="AL11" s="18"/>
      <c r="AM11" s="16"/>
      <c r="AN11" s="18"/>
      <c r="AO11" s="16"/>
      <c r="AP11" s="18"/>
      <c r="AQ11" s="16"/>
      <c r="AR11" s="18"/>
      <c r="AS11" s="32"/>
      <c r="AT11" s="18"/>
      <c r="AU11" s="32"/>
      <c r="AV11" s="18"/>
      <c r="AW11" s="32"/>
      <c r="AX11" s="18"/>
      <c r="AY11" s="32"/>
      <c r="AZ11" s="32"/>
      <c r="BA11" s="32"/>
      <c r="BB11" s="33"/>
      <c r="BC11" s="32"/>
      <c r="BD11" s="33"/>
      <c r="BE11" s="32"/>
      <c r="BF11" s="33"/>
      <c r="BG11" s="32"/>
      <c r="BH11" s="33"/>
      <c r="BI11" s="32"/>
      <c r="BJ11" s="34"/>
      <c r="BK11" s="32"/>
      <c r="BL11" s="34"/>
      <c r="BM11" s="32"/>
      <c r="BN11" s="33"/>
      <c r="BO11" s="32"/>
      <c r="BP11" s="33"/>
      <c r="BQ11" s="32"/>
      <c r="BR11" s="34"/>
      <c r="BS11" s="32"/>
    </row>
    <row r="12" spans="1:71" x14ac:dyDescent="0.25">
      <c r="A12" s="20"/>
      <c r="B12" s="16"/>
      <c r="C12" s="16"/>
      <c r="D12" s="16"/>
      <c r="E12" s="35"/>
      <c r="F12" s="16"/>
      <c r="G12" s="16"/>
      <c r="H12" s="16"/>
      <c r="I12" s="16"/>
      <c r="J12" s="35"/>
      <c r="K12" s="16"/>
      <c r="L12" s="16"/>
      <c r="M12" s="16"/>
      <c r="N12" s="35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35"/>
      <c r="AA12" s="16"/>
      <c r="AB12" s="35"/>
      <c r="AC12" s="16"/>
      <c r="AD12" s="35"/>
      <c r="AE12" s="16"/>
      <c r="AF12" s="35"/>
      <c r="AG12" s="16"/>
      <c r="AH12" s="35"/>
      <c r="AI12" s="16"/>
      <c r="AJ12" s="35"/>
      <c r="AK12" s="16"/>
      <c r="AL12" s="35"/>
      <c r="AM12" s="16"/>
      <c r="AN12" s="35"/>
      <c r="AO12" s="16"/>
      <c r="AP12" s="35"/>
      <c r="AQ12" s="16"/>
      <c r="AR12" s="35"/>
      <c r="AS12" s="18"/>
      <c r="AT12" s="35"/>
      <c r="AU12" s="18"/>
      <c r="AV12" s="35"/>
      <c r="AW12" s="18"/>
      <c r="AX12" s="35"/>
      <c r="AY12" s="18"/>
      <c r="AZ12" s="18"/>
      <c r="BA12" s="18"/>
      <c r="BB12" s="33"/>
      <c r="BC12" s="18"/>
      <c r="BD12" s="33"/>
      <c r="BE12" s="18"/>
      <c r="BF12" s="33"/>
      <c r="BG12" s="18"/>
      <c r="BH12" s="33"/>
      <c r="BI12" s="36"/>
      <c r="BJ12" s="34"/>
      <c r="BK12" s="18"/>
      <c r="BL12" s="34"/>
      <c r="BM12" s="36"/>
      <c r="BN12" s="33"/>
      <c r="BO12" s="18"/>
      <c r="BP12" s="33"/>
      <c r="BQ12" s="36"/>
      <c r="BR12" s="34"/>
      <c r="BS12" s="18"/>
    </row>
    <row r="13" spans="1:71" x14ac:dyDescent="0.25">
      <c r="A13" s="20"/>
      <c r="B13" s="16"/>
      <c r="C13" s="16"/>
      <c r="D13" s="16"/>
      <c r="E13" s="11"/>
      <c r="F13" s="16"/>
      <c r="G13" s="16"/>
      <c r="H13" s="16"/>
      <c r="I13" s="16"/>
      <c r="J13" s="11"/>
      <c r="K13" s="16"/>
      <c r="L13" s="16"/>
      <c r="M13" s="16"/>
      <c r="N13" s="11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1"/>
      <c r="AA13" s="16"/>
      <c r="AB13" s="11"/>
      <c r="AC13" s="16"/>
      <c r="AD13" s="11"/>
      <c r="AE13" s="16"/>
      <c r="AF13" s="11"/>
      <c r="AG13" s="16"/>
      <c r="AH13" s="11"/>
      <c r="AI13" s="16"/>
      <c r="AJ13" s="11"/>
      <c r="AK13" s="16"/>
      <c r="AL13" s="11"/>
      <c r="AM13" s="16"/>
      <c r="AN13" s="11"/>
      <c r="AO13" s="16"/>
      <c r="AP13" s="11"/>
      <c r="AQ13" s="16"/>
      <c r="AR13" s="11"/>
      <c r="AS13" s="35"/>
      <c r="AT13" s="11"/>
      <c r="AU13" s="35"/>
      <c r="AV13" s="11"/>
      <c r="AW13" s="35"/>
      <c r="AX13" s="11"/>
      <c r="AY13" s="35"/>
      <c r="AZ13" s="35"/>
      <c r="BA13" s="35"/>
      <c r="BB13" s="33"/>
      <c r="BC13" s="35"/>
      <c r="BD13" s="33"/>
      <c r="BE13" s="35"/>
      <c r="BF13" s="33"/>
      <c r="BG13" s="35"/>
      <c r="BH13" s="33"/>
      <c r="BI13" s="35"/>
      <c r="BJ13" s="34"/>
      <c r="BK13" s="35"/>
      <c r="BL13" s="34"/>
      <c r="BM13" s="35"/>
      <c r="BN13" s="33"/>
      <c r="BO13" s="35"/>
      <c r="BP13" s="33"/>
      <c r="BQ13" s="35"/>
      <c r="BR13" s="34"/>
      <c r="BS13" s="35"/>
    </row>
    <row r="14" spans="1:71" x14ac:dyDescent="0.25">
      <c r="A14" s="20"/>
      <c r="B14" s="16"/>
      <c r="C14" s="16"/>
      <c r="D14" s="16"/>
      <c r="E14" s="24"/>
      <c r="F14" s="16"/>
      <c r="G14" s="16"/>
      <c r="H14" s="16"/>
      <c r="I14" s="16"/>
      <c r="J14" s="24"/>
      <c r="K14" s="16"/>
      <c r="L14" s="16"/>
      <c r="M14" s="16"/>
      <c r="N14" s="24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24"/>
      <c r="AA14" s="16"/>
      <c r="AB14" s="24"/>
      <c r="AC14" s="16"/>
      <c r="AD14" s="24"/>
      <c r="AE14" s="16"/>
      <c r="AF14" s="24"/>
      <c r="AG14" s="16"/>
      <c r="AH14" s="24"/>
      <c r="AI14" s="16"/>
      <c r="AJ14" s="24"/>
      <c r="AK14" s="16"/>
      <c r="AL14" s="24"/>
      <c r="AM14" s="16"/>
      <c r="AN14" s="24"/>
      <c r="AO14" s="16"/>
      <c r="AP14" s="24"/>
      <c r="AQ14" s="16"/>
      <c r="AR14" s="24"/>
      <c r="AS14" s="11"/>
      <c r="AT14" s="24"/>
      <c r="AU14" s="11"/>
      <c r="AV14" s="24"/>
      <c r="AW14" s="11"/>
      <c r="AX14" s="24"/>
      <c r="AY14" s="11"/>
      <c r="AZ14" s="11"/>
      <c r="BA14" s="11"/>
      <c r="BB14" s="33"/>
      <c r="BC14" s="11"/>
      <c r="BD14" s="33"/>
      <c r="BE14" s="11"/>
      <c r="BF14" s="33"/>
      <c r="BG14" s="11"/>
      <c r="BH14" s="33"/>
      <c r="BI14" s="11"/>
      <c r="BJ14" s="34"/>
      <c r="BK14" s="11"/>
      <c r="BL14" s="34"/>
      <c r="BM14" s="11"/>
      <c r="BN14" s="33"/>
      <c r="BO14" s="11"/>
      <c r="BP14" s="33"/>
      <c r="BQ14" s="11"/>
      <c r="BR14" s="34"/>
      <c r="BS14" s="11"/>
    </row>
    <row r="15" spans="1:71" x14ac:dyDescent="0.25">
      <c r="A15" s="20"/>
      <c r="B15" s="16"/>
      <c r="C15" s="16"/>
      <c r="D15" s="16"/>
      <c r="E15" s="33"/>
      <c r="F15" s="16"/>
      <c r="G15" s="16"/>
      <c r="H15" s="16"/>
      <c r="I15" s="16"/>
      <c r="J15" s="33"/>
      <c r="K15" s="16"/>
      <c r="L15" s="16"/>
      <c r="M15" s="16"/>
      <c r="N15" s="33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34"/>
      <c r="AA15" s="16"/>
      <c r="AB15" s="34"/>
      <c r="AC15" s="16"/>
      <c r="AD15" s="34"/>
      <c r="AE15" s="16"/>
      <c r="AF15" s="34"/>
      <c r="AG15" s="16"/>
      <c r="AH15" s="33"/>
      <c r="AI15" s="16"/>
      <c r="AJ15" s="33"/>
      <c r="AK15" s="16"/>
      <c r="AL15" s="33"/>
      <c r="AM15" s="16"/>
      <c r="AN15" s="33"/>
      <c r="AO15" s="16"/>
      <c r="AP15" s="33"/>
      <c r="AQ15" s="16"/>
      <c r="AR15" s="33"/>
      <c r="AS15" s="24"/>
      <c r="AT15" s="33"/>
      <c r="AU15" s="24"/>
      <c r="AV15" s="33"/>
      <c r="AW15" s="24"/>
      <c r="AX15" s="33"/>
      <c r="AY15" s="24"/>
      <c r="AZ15" s="24"/>
      <c r="BA15" s="24"/>
      <c r="BB15" s="33"/>
      <c r="BC15" s="24"/>
      <c r="BD15" s="33"/>
      <c r="BE15" s="24"/>
      <c r="BF15" s="33"/>
      <c r="BG15" s="24"/>
      <c r="BH15" s="33"/>
      <c r="BI15" s="24"/>
      <c r="BJ15" s="34"/>
      <c r="BK15" s="24"/>
      <c r="BL15" s="34"/>
      <c r="BM15" s="24"/>
      <c r="BN15" s="33"/>
      <c r="BO15" s="24"/>
      <c r="BP15" s="33"/>
      <c r="BQ15" s="24"/>
      <c r="BR15" s="34"/>
      <c r="BS15" s="24"/>
    </row>
    <row r="16" spans="1:71" x14ac:dyDescent="0.25">
      <c r="A16" s="8"/>
      <c r="B16" s="30"/>
      <c r="C16" s="30"/>
      <c r="D16" s="30"/>
      <c r="E16" s="33"/>
      <c r="F16" s="30"/>
      <c r="G16" s="30"/>
      <c r="H16" s="30"/>
      <c r="I16" s="30"/>
      <c r="J16" s="33"/>
      <c r="K16" s="30"/>
      <c r="L16" s="30"/>
      <c r="M16" s="30"/>
      <c r="N16" s="33"/>
      <c r="O16" s="30"/>
      <c r="P16" s="30"/>
      <c r="Q16" s="30"/>
      <c r="R16" s="16"/>
      <c r="S16" s="30"/>
      <c r="T16" s="16"/>
      <c r="U16" s="30"/>
      <c r="V16" s="16"/>
      <c r="W16" s="30"/>
      <c r="X16" s="16"/>
      <c r="Y16" s="30"/>
      <c r="Z16" s="34"/>
      <c r="AA16" s="30"/>
      <c r="AB16" s="34"/>
      <c r="AC16" s="30"/>
      <c r="AD16" s="34"/>
      <c r="AE16" s="30"/>
      <c r="AF16" s="34"/>
      <c r="AG16" s="30"/>
      <c r="AH16" s="33"/>
      <c r="AI16" s="30"/>
      <c r="AJ16" s="33"/>
      <c r="AK16" s="30"/>
      <c r="AL16" s="33"/>
      <c r="AM16" s="30"/>
      <c r="AN16" s="33"/>
      <c r="AO16" s="30"/>
      <c r="AP16" s="33"/>
      <c r="AQ16" s="30"/>
      <c r="AR16" s="33"/>
      <c r="AS16" s="13"/>
      <c r="AT16" s="33"/>
      <c r="AU16" s="13"/>
      <c r="AV16" s="33"/>
      <c r="AW16" s="13"/>
      <c r="AX16" s="33"/>
      <c r="AY16" s="13"/>
      <c r="AZ16" s="33"/>
      <c r="BA16" s="13"/>
      <c r="BB16" s="13"/>
      <c r="BC16" s="13"/>
      <c r="BD16" s="13"/>
      <c r="BE16" s="13"/>
      <c r="BF16" s="13"/>
      <c r="BG16" s="13"/>
      <c r="BH16" s="13"/>
      <c r="BI16" s="8"/>
      <c r="BM16" s="8"/>
      <c r="BN16" s="13"/>
      <c r="BO16" s="13"/>
      <c r="BP16" s="13"/>
      <c r="BQ16" s="8"/>
    </row>
    <row r="17" spans="1:71" x14ac:dyDescent="0.25">
      <c r="D17" s="13"/>
      <c r="E17" s="4"/>
      <c r="F17" s="13"/>
      <c r="I17" s="13"/>
      <c r="J17" s="4"/>
      <c r="K17" s="13"/>
      <c r="M17" s="13"/>
      <c r="N17" s="4"/>
      <c r="O17" s="13"/>
      <c r="Q17" s="13"/>
      <c r="R17" s="33"/>
      <c r="S17" s="13"/>
      <c r="T17" s="33"/>
      <c r="U17" s="13"/>
      <c r="V17" s="34"/>
      <c r="X17" s="34"/>
      <c r="Y17" s="13"/>
      <c r="Z17" s="4"/>
      <c r="AB17" s="4"/>
      <c r="AC17" s="13"/>
      <c r="AD17" s="4"/>
      <c r="AF17" s="4"/>
      <c r="AG17" s="13"/>
      <c r="AH17" s="4"/>
      <c r="AI17" s="13"/>
      <c r="AJ17" s="4"/>
      <c r="AK17" s="13"/>
      <c r="AL17" s="4"/>
      <c r="AM17" s="13"/>
      <c r="AN17" s="4"/>
      <c r="AO17" s="13"/>
      <c r="AP17" s="4"/>
      <c r="AQ17" s="13"/>
      <c r="AR17" s="4"/>
      <c r="AS17" s="13"/>
      <c r="AT17" s="4"/>
      <c r="AU17" s="13"/>
      <c r="AV17" s="4"/>
      <c r="AW17" s="13"/>
      <c r="AX17" s="4"/>
      <c r="AY17" s="13"/>
      <c r="AZ17" s="33"/>
      <c r="BA17" s="13"/>
      <c r="BB17" s="13"/>
      <c r="BC17" s="13"/>
      <c r="BD17" s="13"/>
      <c r="BE17" s="13"/>
      <c r="BF17" s="13"/>
      <c r="BG17" s="13"/>
      <c r="BH17" s="13"/>
      <c r="BI17" s="13"/>
      <c r="BM17" s="13"/>
      <c r="BN17" s="13"/>
      <c r="BO17" s="13"/>
      <c r="BP17" s="13"/>
      <c r="BQ17" s="13"/>
    </row>
    <row r="18" spans="1:71" ht="51" x14ac:dyDescent="0.25">
      <c r="A18" s="37"/>
      <c r="B18" s="38"/>
      <c r="C18" s="16"/>
      <c r="D18" s="10" t="s">
        <v>537</v>
      </c>
      <c r="E18" s="11"/>
      <c r="F18" s="9" t="s">
        <v>538</v>
      </c>
      <c r="G18" s="16"/>
      <c r="H18" s="16"/>
      <c r="I18" s="10" t="s">
        <v>535</v>
      </c>
      <c r="J18" s="11"/>
      <c r="K18" s="9" t="s">
        <v>536</v>
      </c>
      <c r="L18" s="16"/>
      <c r="M18" s="10" t="s">
        <v>2</v>
      </c>
      <c r="N18" s="11"/>
      <c r="O18" s="9" t="s">
        <v>3</v>
      </c>
      <c r="P18" s="16"/>
      <c r="Q18" s="9" t="s">
        <v>4</v>
      </c>
      <c r="R18" s="4"/>
      <c r="S18" s="9" t="s">
        <v>5</v>
      </c>
      <c r="T18" s="4"/>
      <c r="U18" s="9" t="s">
        <v>6</v>
      </c>
      <c r="V18" s="11"/>
      <c r="W18" s="9" t="s">
        <v>7</v>
      </c>
      <c r="X18" s="4"/>
      <c r="Y18" s="9" t="s">
        <v>8</v>
      </c>
      <c r="AA18" s="9" t="s">
        <v>9</v>
      </c>
      <c r="AB18" s="11"/>
      <c r="AC18" s="9" t="s">
        <v>10</v>
      </c>
      <c r="AD18" s="11"/>
      <c r="AE18" s="9" t="s">
        <v>11</v>
      </c>
      <c r="AF18" s="11"/>
      <c r="AG18" s="9" t="s">
        <v>12</v>
      </c>
      <c r="AH18" s="11"/>
      <c r="AI18" s="9" t="s">
        <v>13</v>
      </c>
      <c r="AJ18" s="11"/>
      <c r="AK18" s="9" t="s">
        <v>14</v>
      </c>
      <c r="AL18" s="11"/>
      <c r="AM18" s="9" t="s">
        <v>15</v>
      </c>
      <c r="AN18" s="11"/>
      <c r="AO18" s="9" t="s">
        <v>16</v>
      </c>
      <c r="AP18" s="11"/>
      <c r="AQ18" s="9" t="s">
        <v>17</v>
      </c>
      <c r="AR18" s="11"/>
      <c r="AS18" s="39" t="s">
        <v>5</v>
      </c>
      <c r="AT18" s="40"/>
      <c r="AU18" s="39" t="s">
        <v>18</v>
      </c>
      <c r="AV18" s="40"/>
      <c r="AW18" s="39" t="s">
        <v>7</v>
      </c>
      <c r="AX18" s="40"/>
      <c r="AY18" s="39" t="s">
        <v>19</v>
      </c>
      <c r="AZ18" s="4"/>
      <c r="BA18" s="39" t="s">
        <v>9</v>
      </c>
      <c r="BB18" s="13"/>
      <c r="BC18" s="39" t="s">
        <v>20</v>
      </c>
      <c r="BD18" s="13"/>
      <c r="BE18" s="39" t="s">
        <v>21</v>
      </c>
      <c r="BF18" s="13"/>
      <c r="BG18" s="39" t="s">
        <v>22</v>
      </c>
      <c r="BH18" s="13"/>
      <c r="BI18" s="39" t="s">
        <v>23</v>
      </c>
      <c r="BK18" s="39" t="s">
        <v>24</v>
      </c>
      <c r="BM18" s="39" t="s">
        <v>25</v>
      </c>
      <c r="BN18" s="13"/>
      <c r="BO18" s="39" t="s">
        <v>26</v>
      </c>
      <c r="BP18" s="13"/>
      <c r="BQ18" s="39" t="s">
        <v>27</v>
      </c>
      <c r="BS18" s="39" t="s">
        <v>28</v>
      </c>
    </row>
    <row r="19" spans="1:71" x14ac:dyDescent="0.25">
      <c r="A19" s="14" t="s">
        <v>35</v>
      </c>
      <c r="B19" s="15" t="s">
        <v>36</v>
      </c>
      <c r="C19" s="16"/>
      <c r="D19" s="41">
        <v>2.48</v>
      </c>
      <c r="E19" s="40"/>
      <c r="F19" s="42">
        <v>2.0099999999999998</v>
      </c>
      <c r="G19" s="16"/>
      <c r="H19" s="16"/>
      <c r="I19" s="41">
        <v>1.27</v>
      </c>
      <c r="J19" s="40"/>
      <c r="K19" s="42">
        <v>1.0399999999999998</v>
      </c>
      <c r="L19" s="16"/>
      <c r="M19" s="41">
        <v>1.21</v>
      </c>
      <c r="N19" s="40"/>
      <c r="O19" s="42">
        <v>0.97</v>
      </c>
      <c r="P19" s="16"/>
      <c r="Q19" s="42">
        <v>4.91</v>
      </c>
      <c r="R19" s="16"/>
      <c r="S19" s="42">
        <v>5.4</v>
      </c>
      <c r="T19" s="16"/>
      <c r="U19" s="42">
        <v>1.45</v>
      </c>
      <c r="V19" s="16"/>
      <c r="W19" s="42">
        <v>1.41</v>
      </c>
      <c r="X19" s="16"/>
      <c r="Y19" s="42">
        <v>3.45</v>
      </c>
      <c r="Z19" s="40"/>
      <c r="AA19" s="42">
        <v>3.99</v>
      </c>
      <c r="AB19" s="40"/>
      <c r="AC19" s="42">
        <v>1.44</v>
      </c>
      <c r="AD19" s="40"/>
      <c r="AE19" s="42">
        <v>1.44</v>
      </c>
      <c r="AF19" s="40"/>
      <c r="AG19" s="42">
        <v>2.0099999999999998</v>
      </c>
      <c r="AH19" s="40"/>
      <c r="AI19" s="42">
        <v>2.5499999999999998</v>
      </c>
      <c r="AJ19" s="40"/>
      <c r="AK19" s="42">
        <v>1.04</v>
      </c>
      <c r="AL19" s="40"/>
      <c r="AM19" s="42">
        <v>1.3</v>
      </c>
      <c r="AN19" s="40"/>
      <c r="AO19" s="42">
        <v>0.97</v>
      </c>
      <c r="AP19" s="40"/>
      <c r="AQ19" s="42">
        <v>1.25</v>
      </c>
      <c r="AR19" s="40"/>
      <c r="AS19" s="42">
        <v>5.4</v>
      </c>
      <c r="AT19" s="40"/>
      <c r="AU19" s="42">
        <v>5.45</v>
      </c>
      <c r="AV19" s="40"/>
      <c r="AW19" s="42">
        <v>1.41</v>
      </c>
      <c r="AX19" s="40"/>
      <c r="AY19" s="42">
        <v>1.19</v>
      </c>
      <c r="AZ19" s="40"/>
      <c r="BA19" s="42">
        <v>3.99</v>
      </c>
      <c r="BB19" s="13"/>
      <c r="BC19" s="42">
        <v>4.26</v>
      </c>
      <c r="BD19" s="13"/>
      <c r="BE19" s="42">
        <v>1.44</v>
      </c>
      <c r="BF19" s="13"/>
      <c r="BG19" s="42">
        <v>1.26</v>
      </c>
      <c r="BH19" s="13"/>
      <c r="BI19" s="42">
        <v>2.5499999999999998</v>
      </c>
      <c r="BK19" s="42">
        <v>3</v>
      </c>
      <c r="BM19" s="42">
        <v>1.3</v>
      </c>
      <c r="BN19" s="13"/>
      <c r="BO19" s="42">
        <v>1.48</v>
      </c>
      <c r="BP19" s="13"/>
      <c r="BQ19" s="42">
        <v>1.25</v>
      </c>
      <c r="BS19" s="42">
        <v>1.52</v>
      </c>
    </row>
    <row r="20" spans="1:71" x14ac:dyDescent="0.25">
      <c r="A20" s="20" t="s">
        <v>37</v>
      </c>
      <c r="B20" s="16" t="s">
        <v>38</v>
      </c>
      <c r="C20" s="16"/>
      <c r="D20" s="43">
        <v>8.4499999999999993</v>
      </c>
      <c r="E20" s="24"/>
      <c r="F20" s="40">
        <v>8.76</v>
      </c>
      <c r="G20" s="16"/>
      <c r="H20" s="16"/>
      <c r="I20" s="43">
        <v>4.1399999999999997</v>
      </c>
      <c r="J20" s="24"/>
      <c r="K20" s="40">
        <v>4.3599999999999994</v>
      </c>
      <c r="L20" s="16"/>
      <c r="M20" s="43">
        <v>4.3099999999999996</v>
      </c>
      <c r="N20" s="24"/>
      <c r="O20" s="40">
        <v>4.4000000000000004</v>
      </c>
      <c r="P20" s="16"/>
      <c r="Q20" s="40">
        <v>16.64</v>
      </c>
      <c r="R20" s="16"/>
      <c r="S20" s="40">
        <v>15.37</v>
      </c>
      <c r="T20" s="16"/>
      <c r="U20" s="40">
        <v>4.25</v>
      </c>
      <c r="V20" s="16"/>
      <c r="W20" s="40">
        <v>4.1100000000000003</v>
      </c>
      <c r="X20" s="16"/>
      <c r="Y20" s="40">
        <v>12.38</v>
      </c>
      <c r="Z20" s="24"/>
      <c r="AA20" s="40">
        <v>11.27</v>
      </c>
      <c r="AB20" s="24"/>
      <c r="AC20" s="40">
        <v>4.54</v>
      </c>
      <c r="AD20" s="24"/>
      <c r="AE20" s="40">
        <v>3.98</v>
      </c>
      <c r="AF20" s="24"/>
      <c r="AG20" s="40">
        <v>7.84</v>
      </c>
      <c r="AH20" s="24"/>
      <c r="AI20" s="40">
        <v>7.29</v>
      </c>
      <c r="AJ20" s="24"/>
      <c r="AK20" s="40">
        <v>3.92</v>
      </c>
      <c r="AL20" s="24"/>
      <c r="AM20" s="40">
        <v>3.59</v>
      </c>
      <c r="AN20" s="24"/>
      <c r="AO20" s="40">
        <v>3.93</v>
      </c>
      <c r="AP20" s="24"/>
      <c r="AQ20" s="40">
        <v>3.69</v>
      </c>
      <c r="AR20" s="24"/>
      <c r="AS20" s="40">
        <v>15.37</v>
      </c>
      <c r="AT20" s="24"/>
      <c r="AU20" s="40">
        <v>19.39</v>
      </c>
      <c r="AV20" s="24"/>
      <c r="AW20" s="40">
        <v>4.1100000000000003</v>
      </c>
      <c r="AX20" s="24"/>
      <c r="AY20" s="40">
        <v>5.1100000000000003</v>
      </c>
      <c r="AZ20" s="40"/>
      <c r="BA20" s="40">
        <v>11.27</v>
      </c>
      <c r="BB20" s="13"/>
      <c r="BC20" s="40">
        <v>14.28</v>
      </c>
      <c r="BD20" s="13"/>
      <c r="BE20" s="40">
        <v>3.98</v>
      </c>
      <c r="BF20" s="13"/>
      <c r="BG20" s="40">
        <v>4.53</v>
      </c>
      <c r="BH20" s="13"/>
      <c r="BI20" s="40">
        <v>7.29</v>
      </c>
      <c r="BK20" s="40">
        <v>9.75</v>
      </c>
      <c r="BM20" s="40">
        <v>3.59</v>
      </c>
      <c r="BN20" s="13"/>
      <c r="BO20" s="40">
        <v>4.5999999999999996</v>
      </c>
      <c r="BP20" s="13"/>
      <c r="BQ20" s="40">
        <v>3.69</v>
      </c>
      <c r="BS20" s="40">
        <v>5.15</v>
      </c>
    </row>
    <row r="21" spans="1:71" x14ac:dyDescent="0.25">
      <c r="A21" s="20" t="s">
        <v>39</v>
      </c>
      <c r="B21" s="16" t="s">
        <v>38</v>
      </c>
      <c r="C21" s="16"/>
      <c r="D21" s="43">
        <v>24.77</v>
      </c>
      <c r="E21" s="24"/>
      <c r="F21" s="40">
        <v>24.59</v>
      </c>
      <c r="G21" s="16"/>
      <c r="H21" s="16"/>
      <c r="I21" s="43">
        <v>12.04</v>
      </c>
      <c r="J21" s="24"/>
      <c r="K21" s="40">
        <v>12.09</v>
      </c>
      <c r="L21" s="16"/>
      <c r="M21" s="43">
        <v>12.73</v>
      </c>
      <c r="N21" s="24"/>
      <c r="O21" s="40">
        <v>12.5</v>
      </c>
      <c r="P21" s="16"/>
      <c r="Q21" s="40">
        <v>49.2</v>
      </c>
      <c r="R21" s="16"/>
      <c r="S21" s="40">
        <v>47.9</v>
      </c>
      <c r="T21" s="16"/>
      <c r="U21" s="40">
        <v>12.51</v>
      </c>
      <c r="V21" s="16"/>
      <c r="W21" s="40">
        <v>12.16</v>
      </c>
      <c r="X21" s="16"/>
      <c r="Y21" s="40">
        <v>36.69</v>
      </c>
      <c r="Z21" s="24"/>
      <c r="AA21" s="40">
        <v>35.74</v>
      </c>
      <c r="AB21" s="24"/>
      <c r="AC21" s="40">
        <v>12.1</v>
      </c>
      <c r="AD21" s="24"/>
      <c r="AE21" s="40">
        <v>11.86</v>
      </c>
      <c r="AF21" s="24"/>
      <c r="AG21" s="40">
        <v>24.59</v>
      </c>
      <c r="AH21" s="24"/>
      <c r="AI21" s="40">
        <v>23.88</v>
      </c>
      <c r="AJ21" s="24"/>
      <c r="AK21" s="40">
        <v>12.09</v>
      </c>
      <c r="AL21" s="24"/>
      <c r="AM21" s="40">
        <v>11.63</v>
      </c>
      <c r="AN21" s="24"/>
      <c r="AO21" s="40">
        <v>12.5</v>
      </c>
      <c r="AP21" s="24"/>
      <c r="AQ21" s="40">
        <v>12.25</v>
      </c>
      <c r="AR21" s="24"/>
      <c r="AS21" s="24">
        <v>47.9</v>
      </c>
      <c r="AT21" s="24"/>
      <c r="AU21" s="24">
        <v>47.9</v>
      </c>
      <c r="AV21" s="24"/>
      <c r="AW21" s="24">
        <v>12.16</v>
      </c>
      <c r="AX21" s="24"/>
      <c r="AY21" s="24">
        <v>12.18</v>
      </c>
      <c r="AZ21" s="24"/>
      <c r="BA21" s="24">
        <v>35.74</v>
      </c>
      <c r="BB21" s="13"/>
      <c r="BC21" s="24">
        <v>35.72</v>
      </c>
      <c r="BD21" s="13"/>
      <c r="BE21" s="24">
        <v>11.86</v>
      </c>
      <c r="BF21" s="13"/>
      <c r="BG21" s="24">
        <v>11.74</v>
      </c>
      <c r="BH21" s="13"/>
      <c r="BI21" s="24">
        <v>23.88</v>
      </c>
      <c r="BK21" s="24">
        <v>23.98</v>
      </c>
      <c r="BM21" s="24">
        <v>11.63</v>
      </c>
      <c r="BN21" s="13"/>
      <c r="BO21" s="24">
        <v>11.56</v>
      </c>
      <c r="BP21" s="13"/>
      <c r="BQ21" s="24">
        <v>12.25</v>
      </c>
      <c r="BS21" s="24">
        <v>12.42</v>
      </c>
    </row>
    <row r="22" spans="1:71" x14ac:dyDescent="0.25">
      <c r="A22" s="25" t="s">
        <v>40</v>
      </c>
      <c r="B22" s="26" t="s">
        <v>38</v>
      </c>
      <c r="C22" s="16"/>
      <c r="D22" s="27">
        <v>15.58</v>
      </c>
      <c r="E22" s="33"/>
      <c r="F22" s="29">
        <v>18.03</v>
      </c>
      <c r="G22" s="16"/>
      <c r="H22" s="16"/>
      <c r="I22" s="27">
        <v>7.2100000000000009</v>
      </c>
      <c r="J22" s="33"/>
      <c r="K22" s="29">
        <v>8.5820000000000007</v>
      </c>
      <c r="L22" s="16"/>
      <c r="M22" s="27">
        <v>8.3699999999999992</v>
      </c>
      <c r="N22" s="33"/>
      <c r="O22" s="29">
        <v>9.0500000000000007</v>
      </c>
      <c r="P22" s="16"/>
      <c r="Q22" s="29">
        <v>35.94</v>
      </c>
      <c r="R22" s="16"/>
      <c r="S22" s="29">
        <v>36.43</v>
      </c>
      <c r="T22" s="16"/>
      <c r="U22" s="29">
        <v>9.4700000000000006</v>
      </c>
      <c r="V22" s="16"/>
      <c r="W22" s="29">
        <v>9.66</v>
      </c>
      <c r="X22" s="16"/>
      <c r="Y22" s="29">
        <v>26.46</v>
      </c>
      <c r="Z22" s="34"/>
      <c r="AA22" s="29">
        <v>26.78</v>
      </c>
      <c r="AB22" s="34"/>
      <c r="AC22" s="29">
        <v>8.44</v>
      </c>
      <c r="AD22" s="34"/>
      <c r="AE22" s="29">
        <v>8.58</v>
      </c>
      <c r="AF22" s="34"/>
      <c r="AG22" s="29">
        <v>18.03</v>
      </c>
      <c r="AH22" s="33"/>
      <c r="AI22" s="29">
        <v>18.2</v>
      </c>
      <c r="AJ22" s="33"/>
      <c r="AK22" s="29">
        <v>8.58</v>
      </c>
      <c r="AL22" s="33"/>
      <c r="AM22" s="29">
        <v>8.5399999999999991</v>
      </c>
      <c r="AN22" s="33"/>
      <c r="AO22" s="29">
        <v>9.0500000000000007</v>
      </c>
      <c r="AP22" s="33"/>
      <c r="AQ22" s="29">
        <v>10.17</v>
      </c>
      <c r="AR22" s="33"/>
      <c r="AS22" s="29">
        <v>38.590000000000003</v>
      </c>
      <c r="AT22" s="33"/>
      <c r="AU22" s="29">
        <v>41.3</v>
      </c>
      <c r="AV22" s="33"/>
      <c r="AW22" s="29">
        <v>10.210000000000001</v>
      </c>
      <c r="AX22" s="33"/>
      <c r="AY22" s="29">
        <v>10.59</v>
      </c>
      <c r="AZ22" s="24"/>
      <c r="BA22" s="29">
        <v>28.39</v>
      </c>
      <c r="BB22" s="13"/>
      <c r="BC22" s="29">
        <v>30.71</v>
      </c>
      <c r="BD22" s="13"/>
      <c r="BE22" s="29">
        <v>9.1300000000000008</v>
      </c>
      <c r="BF22" s="13"/>
      <c r="BG22" s="29">
        <v>9.85</v>
      </c>
      <c r="BH22" s="13"/>
      <c r="BI22" s="29">
        <v>19.25</v>
      </c>
      <c r="BK22" s="29">
        <v>20.86</v>
      </c>
      <c r="BM22" s="29">
        <v>9.08</v>
      </c>
      <c r="BN22" s="13"/>
      <c r="BO22" s="29">
        <v>9.92</v>
      </c>
      <c r="BP22" s="13"/>
      <c r="BQ22" s="29">
        <v>10.17</v>
      </c>
      <c r="BS22" s="29">
        <v>10.94</v>
      </c>
    </row>
  </sheetData>
  <customSheetViews>
    <customSheetView guid="{627AEB6E-B9F1-415E-9A60-881757A50C67}">
      <selection activeCell="J11" sqref="J11"/>
      <pageMargins left="0.7" right="0.7" top="0.75" bottom="0.75" header="0.3" footer="0.3"/>
      <pageSetup paperSize="9" orientation="portrait" r:id="rId1"/>
    </customSheetView>
    <customSheetView guid="{AAA495E0-27FD-4941-85B8-9038B6AD4FA3}">
      <selection activeCell="C9" sqref="C9"/>
      <pageMargins left="0.7" right="0.7" top="0.75" bottom="0.75" header="0.3" footer="0.3"/>
    </customSheetView>
    <customSheetView guid="{874BA5F8-BD95-4DDF-8F31-98DB154CA965}">
      <selection activeCell="C9" sqref="C9"/>
      <pageMargins left="0.7" right="0.7" top="0.75" bottom="0.75" header="0.3" footer="0.3"/>
    </customSheetView>
    <customSheetView guid="{77EFF5B1-32BE-4080-9902-B97F43099026}">
      <selection activeCell="J11" sqref="J11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I159"/>
  <sheetViews>
    <sheetView workbookViewId="0">
      <pane xSplit="1" ySplit="4" topLeftCell="F14" activePane="bottomRight" state="frozen"/>
      <selection pane="topRight" activeCell="B1" sqref="B1"/>
      <selection pane="bottomLeft" activeCell="A5" sqref="A5"/>
      <selection pane="bottomRight" activeCell="N6" sqref="N6"/>
    </sheetView>
  </sheetViews>
  <sheetFormatPr defaultColWidth="12.42578125" defaultRowHeight="15" x14ac:dyDescent="0.25"/>
  <cols>
    <col min="1" max="1" width="101.42578125" style="12" customWidth="1"/>
    <col min="2" max="5" width="21.5703125" style="12" customWidth="1"/>
    <col min="6" max="8" width="22.140625" style="12" customWidth="1"/>
    <col min="9" max="16384" width="12.42578125" style="12"/>
  </cols>
  <sheetData>
    <row r="1" spans="1:9" ht="20.25" x14ac:dyDescent="0.25">
      <c r="A1" s="1" t="s">
        <v>504</v>
      </c>
      <c r="B1" s="97"/>
      <c r="C1" s="6"/>
    </row>
    <row r="2" spans="1:9" x14ac:dyDescent="0.25">
      <c r="A2" s="244" t="s">
        <v>203</v>
      </c>
      <c r="B2" s="245"/>
      <c r="C2" s="245"/>
      <c r="D2" s="245"/>
      <c r="E2" s="245"/>
      <c r="F2" s="245"/>
      <c r="G2" s="245"/>
      <c r="H2" s="245"/>
    </row>
    <row r="3" spans="1:9" ht="38.25" x14ac:dyDescent="0.25">
      <c r="A3" s="110" t="s">
        <v>86</v>
      </c>
      <c r="B3" s="111" t="s">
        <v>505</v>
      </c>
      <c r="C3" s="111" t="s">
        <v>506</v>
      </c>
      <c r="D3" s="250" t="s">
        <v>507</v>
      </c>
      <c r="E3" s="111" t="s">
        <v>508</v>
      </c>
      <c r="F3" s="250" t="s">
        <v>509</v>
      </c>
      <c r="G3" s="111" t="s">
        <v>510</v>
      </c>
      <c r="H3" s="111" t="s">
        <v>511</v>
      </c>
    </row>
    <row r="4" spans="1:9" x14ac:dyDescent="0.25">
      <c r="A4" s="358"/>
      <c r="B4" s="252"/>
      <c r="C4" s="252"/>
      <c r="D4" s="252"/>
      <c r="E4" s="252"/>
    </row>
    <row r="5" spans="1:9" x14ac:dyDescent="0.25">
      <c r="A5" s="8" t="s">
        <v>205</v>
      </c>
      <c r="B5" s="252">
        <v>13694622</v>
      </c>
      <c r="C5" s="252">
        <v>15428879</v>
      </c>
      <c r="D5" s="252">
        <v>20755222</v>
      </c>
      <c r="E5" s="23">
        <v>24752985</v>
      </c>
      <c r="F5" s="178">
        <v>19131122</v>
      </c>
      <c r="G5" s="178">
        <v>18440763</v>
      </c>
      <c r="H5" s="178">
        <v>18375224</v>
      </c>
      <c r="I5" s="255"/>
    </row>
    <row r="6" spans="1:9" x14ac:dyDescent="0.25">
      <c r="A6" s="52" t="s">
        <v>206</v>
      </c>
      <c r="B6" s="252">
        <v>-11521540</v>
      </c>
      <c r="C6" s="252">
        <v>-13089128</v>
      </c>
      <c r="D6" s="252">
        <v>-18174354</v>
      </c>
      <c r="E6" s="23">
        <v>-21282054</v>
      </c>
      <c r="F6" s="178">
        <v>-15990461</v>
      </c>
      <c r="G6" s="178">
        <v>-15512063</v>
      </c>
      <c r="H6" s="178">
        <v>-19140775</v>
      </c>
      <c r="I6" s="255"/>
    </row>
    <row r="7" spans="1:9" x14ac:dyDescent="0.25">
      <c r="A7" s="8" t="s">
        <v>349</v>
      </c>
      <c r="B7" s="252">
        <v>2173082</v>
      </c>
      <c r="C7" s="252">
        <v>2339751</v>
      </c>
      <c r="D7" s="252">
        <v>2580868</v>
      </c>
      <c r="E7" s="23">
        <v>3470931</v>
      </c>
      <c r="F7" s="178">
        <v>3140661</v>
      </c>
      <c r="G7" s="178">
        <v>2928700</v>
      </c>
      <c r="H7" s="178">
        <v>-765551</v>
      </c>
      <c r="I7" s="255"/>
    </row>
    <row r="8" spans="1:9" x14ac:dyDescent="0.25">
      <c r="A8" s="52" t="s">
        <v>350</v>
      </c>
      <c r="B8" s="252">
        <v>112106</v>
      </c>
      <c r="C8" s="252">
        <v>105186</v>
      </c>
      <c r="D8" s="252">
        <v>99446</v>
      </c>
      <c r="E8" s="23">
        <v>118901</v>
      </c>
      <c r="F8" s="178">
        <v>127436</v>
      </c>
      <c r="G8" s="178">
        <v>233306</v>
      </c>
      <c r="H8" s="178">
        <v>171355</v>
      </c>
      <c r="I8" s="255"/>
    </row>
    <row r="9" spans="1:9" x14ac:dyDescent="0.25">
      <c r="A9" s="52" t="s">
        <v>208</v>
      </c>
      <c r="B9" s="252">
        <v>-188182</v>
      </c>
      <c r="C9" s="252">
        <v>-231252</v>
      </c>
      <c r="D9" s="252">
        <v>-283382</v>
      </c>
      <c r="E9" s="23">
        <v>-552291</v>
      </c>
      <c r="F9" s="178">
        <v>-553502</v>
      </c>
      <c r="G9" s="178">
        <v>-549164</v>
      </c>
      <c r="H9" s="178">
        <v>-488859</v>
      </c>
      <c r="I9" s="255"/>
    </row>
    <row r="10" spans="1:9" x14ac:dyDescent="0.25">
      <c r="A10" s="52" t="s">
        <v>209</v>
      </c>
      <c r="B10" s="252">
        <v>-621537</v>
      </c>
      <c r="C10" s="252">
        <v>-670308</v>
      </c>
      <c r="D10" s="252">
        <v>-663970</v>
      </c>
      <c r="E10" s="23">
        <v>-734754</v>
      </c>
      <c r="F10" s="178">
        <v>-645406</v>
      </c>
      <c r="G10" s="178">
        <v>-664187</v>
      </c>
      <c r="H10" s="178">
        <v>-618969</v>
      </c>
      <c r="I10" s="255"/>
    </row>
    <row r="11" spans="1:9" x14ac:dyDescent="0.25">
      <c r="A11" s="52" t="s">
        <v>351</v>
      </c>
      <c r="B11" s="252">
        <v>-154686</v>
      </c>
      <c r="C11" s="252">
        <v>-144118</v>
      </c>
      <c r="D11" s="252">
        <v>-87458</v>
      </c>
      <c r="E11" s="23">
        <v>-137658</v>
      </c>
      <c r="F11" s="178">
        <v>-135123</v>
      </c>
      <c r="G11" s="178">
        <v>-118542</v>
      </c>
      <c r="H11" s="178">
        <v>-199117</v>
      </c>
      <c r="I11" s="255"/>
    </row>
    <row r="12" spans="1:9" x14ac:dyDescent="0.25">
      <c r="A12" s="8" t="s">
        <v>352</v>
      </c>
      <c r="B12" s="252">
        <v>1320783</v>
      </c>
      <c r="C12" s="252">
        <v>1399259</v>
      </c>
      <c r="D12" s="252">
        <v>1645504</v>
      </c>
      <c r="E12" s="178">
        <v>2165129</v>
      </c>
      <c r="F12" s="178">
        <v>1934066</v>
      </c>
      <c r="G12" s="178">
        <v>1830113</v>
      </c>
      <c r="H12" s="178">
        <v>-1901141</v>
      </c>
      <c r="I12" s="255"/>
    </row>
    <row r="13" spans="1:9" x14ac:dyDescent="0.25">
      <c r="A13" s="52" t="s">
        <v>213</v>
      </c>
      <c r="B13" s="252">
        <v>113456</v>
      </c>
      <c r="C13" s="252">
        <v>92284</v>
      </c>
      <c r="D13" s="252">
        <v>115767</v>
      </c>
      <c r="E13" s="178">
        <v>131306</v>
      </c>
      <c r="F13" s="178">
        <v>99257</v>
      </c>
      <c r="G13" s="178">
        <v>86198</v>
      </c>
      <c r="H13" s="178">
        <v>73452</v>
      </c>
      <c r="I13" s="255"/>
    </row>
    <row r="14" spans="1:9" x14ac:dyDescent="0.25">
      <c r="A14" s="52" t="s">
        <v>353</v>
      </c>
      <c r="B14" s="252">
        <v>-208170</v>
      </c>
      <c r="C14" s="252">
        <v>-233993</v>
      </c>
      <c r="D14" s="252">
        <v>-160274</v>
      </c>
      <c r="E14" s="178">
        <v>-347124</v>
      </c>
      <c r="F14" s="178">
        <v>-346993</v>
      </c>
      <c r="G14" s="178">
        <v>-417160</v>
      </c>
      <c r="H14" s="178">
        <v>-368015</v>
      </c>
      <c r="I14" s="255"/>
    </row>
    <row r="15" spans="1:9" x14ac:dyDescent="0.25">
      <c r="A15" s="52" t="s">
        <v>354</v>
      </c>
      <c r="B15" s="256">
        <v>0</v>
      </c>
      <c r="C15" s="252">
        <v>-236</v>
      </c>
      <c r="D15" s="252">
        <v>-1046</v>
      </c>
      <c r="E15" s="178">
        <v>-1734</v>
      </c>
      <c r="F15" s="178">
        <v>-2709</v>
      </c>
      <c r="G15" s="178">
        <v>-936</v>
      </c>
      <c r="H15" s="178">
        <v>7933</v>
      </c>
      <c r="I15" s="255"/>
    </row>
    <row r="16" spans="1:9" x14ac:dyDescent="0.25">
      <c r="A16" s="8" t="s">
        <v>355</v>
      </c>
      <c r="B16" s="252">
        <v>1226069</v>
      </c>
      <c r="C16" s="252">
        <v>1257314</v>
      </c>
      <c r="D16" s="252">
        <v>1599951</v>
      </c>
      <c r="E16" s="178">
        <v>1947577</v>
      </c>
      <c r="F16" s="178">
        <v>1683621</v>
      </c>
      <c r="G16" s="178">
        <v>1498215</v>
      </c>
      <c r="H16" s="178">
        <v>-2187771</v>
      </c>
      <c r="I16" s="255"/>
    </row>
    <row r="17" spans="1:9" x14ac:dyDescent="0.25">
      <c r="A17" s="52" t="s">
        <v>217</v>
      </c>
      <c r="B17" s="252">
        <v>-277906</v>
      </c>
      <c r="C17" s="252">
        <v>-265931</v>
      </c>
      <c r="D17" s="252">
        <v>-333017</v>
      </c>
      <c r="E17" s="178">
        <v>-396778</v>
      </c>
      <c r="F17" s="178">
        <v>-337136</v>
      </c>
      <c r="G17" s="178">
        <v>-312655</v>
      </c>
      <c r="H17" s="178">
        <v>383556</v>
      </c>
      <c r="I17" s="255"/>
    </row>
    <row r="18" spans="1:9" x14ac:dyDescent="0.25">
      <c r="A18" s="25" t="s">
        <v>356</v>
      </c>
      <c r="B18" s="262">
        <v>948163</v>
      </c>
      <c r="C18" s="267">
        <v>991383</v>
      </c>
      <c r="D18" s="267">
        <v>1266934</v>
      </c>
      <c r="E18" s="178">
        <v>1550799</v>
      </c>
      <c r="F18" s="178">
        <v>1346485</v>
      </c>
      <c r="G18" s="178">
        <v>1185560</v>
      </c>
      <c r="H18" s="178">
        <v>-1804215</v>
      </c>
    </row>
    <row r="19" spans="1:9" x14ac:dyDescent="0.25">
      <c r="A19" s="8"/>
      <c r="B19" s="252"/>
      <c r="C19" s="272"/>
      <c r="D19" s="272"/>
      <c r="E19" s="272"/>
      <c r="F19" s="272"/>
      <c r="G19" s="272"/>
      <c r="H19" s="359"/>
    </row>
    <row r="20" spans="1:9" x14ac:dyDescent="0.25">
      <c r="A20" s="14" t="s">
        <v>357</v>
      </c>
      <c r="B20" s="266"/>
      <c r="C20" s="267"/>
      <c r="D20" s="267"/>
      <c r="E20" s="267"/>
    </row>
    <row r="21" spans="1:9" x14ac:dyDescent="0.25">
      <c r="A21" s="65" t="s">
        <v>359</v>
      </c>
      <c r="B21" s="267">
        <v>24576</v>
      </c>
      <c r="C21" s="267">
        <v>1112</v>
      </c>
      <c r="D21" s="269">
        <v>0</v>
      </c>
      <c r="E21" s="178">
        <v>-189756</v>
      </c>
      <c r="F21" s="178">
        <v>33397</v>
      </c>
      <c r="G21" s="178">
        <v>-20207</v>
      </c>
      <c r="H21" s="178">
        <v>85932</v>
      </c>
    </row>
    <row r="22" spans="1:9" x14ac:dyDescent="0.25">
      <c r="A22" s="65" t="s">
        <v>360</v>
      </c>
      <c r="B22" s="267" t="s">
        <v>361</v>
      </c>
      <c r="C22" s="267" t="s">
        <v>361</v>
      </c>
      <c r="D22" s="267">
        <v>37149</v>
      </c>
      <c r="E22" s="178">
        <v>-221074</v>
      </c>
      <c r="F22" s="178">
        <v>21847</v>
      </c>
      <c r="G22" s="178">
        <v>-338594</v>
      </c>
      <c r="H22" s="178">
        <v>64136</v>
      </c>
    </row>
    <row r="23" spans="1:9" x14ac:dyDescent="0.25">
      <c r="A23" s="65" t="s">
        <v>220</v>
      </c>
      <c r="B23" s="256">
        <v>0</v>
      </c>
      <c r="C23" s="267">
        <v>-271</v>
      </c>
      <c r="D23" s="267">
        <v>358</v>
      </c>
      <c r="E23" s="178">
        <v>-457</v>
      </c>
      <c r="F23" s="178">
        <v>-1261</v>
      </c>
      <c r="G23" s="178">
        <v>245</v>
      </c>
      <c r="H23" s="178">
        <v>595</v>
      </c>
    </row>
    <row r="24" spans="1:9" x14ac:dyDescent="0.25">
      <c r="A24" s="65" t="s">
        <v>362</v>
      </c>
      <c r="B24" s="267">
        <v>-4670</v>
      </c>
      <c r="C24" s="267">
        <v>-211</v>
      </c>
      <c r="D24" s="267">
        <v>-7058</v>
      </c>
      <c r="E24" s="178">
        <v>77693</v>
      </c>
      <c r="F24" s="178">
        <f>-6345-4150</f>
        <v>-10495</v>
      </c>
      <c r="G24" s="178">
        <v>68172</v>
      </c>
      <c r="H24" s="178">
        <v>-28587</v>
      </c>
    </row>
    <row r="25" spans="1:9" x14ac:dyDescent="0.25">
      <c r="A25" s="20" t="s">
        <v>363</v>
      </c>
      <c r="B25" s="267">
        <v>19906</v>
      </c>
      <c r="C25" s="267">
        <v>630</v>
      </c>
      <c r="D25" s="267">
        <v>30449</v>
      </c>
      <c r="E25" s="178">
        <v>-333594</v>
      </c>
      <c r="F25" s="178">
        <f>SUM(F21:F24)</f>
        <v>43488</v>
      </c>
      <c r="G25" s="178">
        <v>-290384</v>
      </c>
      <c r="H25" s="178">
        <v>122076</v>
      </c>
    </row>
    <row r="26" spans="1:9" x14ac:dyDescent="0.25">
      <c r="A26" s="20" t="s">
        <v>364</v>
      </c>
      <c r="B26" s="267">
        <v>968069</v>
      </c>
      <c r="C26" s="267">
        <v>992013</v>
      </c>
      <c r="D26" s="267">
        <v>1297383</v>
      </c>
      <c r="E26" s="178">
        <v>1217205</v>
      </c>
      <c r="F26" s="178">
        <f>F18+F25</f>
        <v>1389973</v>
      </c>
      <c r="G26" s="178">
        <v>895176</v>
      </c>
      <c r="H26" s="178">
        <v>-1682139</v>
      </c>
    </row>
    <row r="27" spans="1:9" x14ac:dyDescent="0.25">
      <c r="A27" s="20" t="s">
        <v>365</v>
      </c>
      <c r="B27" s="267"/>
      <c r="C27" s="267"/>
      <c r="D27" s="267"/>
      <c r="E27" s="178"/>
      <c r="F27" s="178"/>
      <c r="G27" s="178"/>
      <c r="H27" s="178"/>
    </row>
    <row r="28" spans="1:9" x14ac:dyDescent="0.25">
      <c r="A28" s="65" t="s">
        <v>229</v>
      </c>
      <c r="B28" s="267">
        <v>774426</v>
      </c>
      <c r="C28" s="267">
        <v>858656</v>
      </c>
      <c r="D28" s="267">
        <v>1245116</v>
      </c>
      <c r="E28" s="178">
        <v>1476392</v>
      </c>
      <c r="F28" s="178">
        <v>1308318</v>
      </c>
      <c r="G28" s="178">
        <v>1180893</v>
      </c>
      <c r="H28" s="178">
        <v>-1807317</v>
      </c>
    </row>
    <row r="29" spans="1:9" x14ac:dyDescent="0.25">
      <c r="A29" s="65" t="s">
        <v>230</v>
      </c>
      <c r="B29" s="267">
        <v>173737</v>
      </c>
      <c r="C29" s="267">
        <v>132727</v>
      </c>
      <c r="D29" s="267">
        <v>21818</v>
      </c>
      <c r="E29" s="178">
        <v>74407</v>
      </c>
      <c r="F29" s="178">
        <v>38167</v>
      </c>
      <c r="G29" s="178">
        <v>4667</v>
      </c>
      <c r="H29" s="178">
        <v>3102</v>
      </c>
    </row>
    <row r="30" spans="1:9" x14ac:dyDescent="0.25">
      <c r="A30" s="20" t="s">
        <v>231</v>
      </c>
      <c r="B30" s="267"/>
      <c r="C30" s="267"/>
      <c r="D30" s="267"/>
      <c r="E30" s="178"/>
      <c r="F30" s="178"/>
      <c r="G30" s="178"/>
      <c r="H30" s="178"/>
    </row>
    <row r="31" spans="1:9" x14ac:dyDescent="0.25">
      <c r="A31" s="65" t="s">
        <v>229</v>
      </c>
      <c r="B31" s="267">
        <v>791425</v>
      </c>
      <c r="C31" s="267">
        <v>859151</v>
      </c>
      <c r="D31" s="267">
        <v>1273637</v>
      </c>
      <c r="E31" s="178">
        <v>1157617</v>
      </c>
      <c r="F31" s="178">
        <v>1349123</v>
      </c>
      <c r="G31" s="178">
        <v>890879</v>
      </c>
      <c r="H31" s="178">
        <v>-1685301</v>
      </c>
    </row>
    <row r="32" spans="1:9" x14ac:dyDescent="0.25">
      <c r="A32" s="60" t="s">
        <v>230</v>
      </c>
      <c r="B32" s="262">
        <v>176644</v>
      </c>
      <c r="C32" s="262">
        <v>132862</v>
      </c>
      <c r="D32" s="262">
        <v>23746</v>
      </c>
      <c r="E32" s="262">
        <v>59588</v>
      </c>
      <c r="F32" s="262">
        <v>40850</v>
      </c>
      <c r="G32" s="262">
        <v>4297</v>
      </c>
      <c r="H32" s="360">
        <v>3162</v>
      </c>
    </row>
    <row r="33" spans="1:9" x14ac:dyDescent="0.25">
      <c r="A33" s="8"/>
      <c r="B33" s="252"/>
      <c r="C33" s="252"/>
      <c r="D33" s="252"/>
      <c r="E33" s="252"/>
      <c r="F33" s="252"/>
      <c r="G33" s="272"/>
      <c r="H33" s="359"/>
    </row>
    <row r="34" spans="1:9" x14ac:dyDescent="0.25">
      <c r="A34" s="14" t="s">
        <v>366</v>
      </c>
      <c r="B34" s="266"/>
      <c r="C34" s="266"/>
      <c r="D34" s="266"/>
      <c r="E34" s="266"/>
      <c r="F34" s="266"/>
    </row>
    <row r="35" spans="1:9" x14ac:dyDescent="0.25">
      <c r="A35" s="160" t="s">
        <v>367</v>
      </c>
      <c r="B35" s="273">
        <v>0.5</v>
      </c>
      <c r="C35" s="273">
        <v>0.54</v>
      </c>
      <c r="D35" s="273">
        <v>0.71</v>
      </c>
      <c r="E35" s="273">
        <v>0.84</v>
      </c>
      <c r="F35" s="273">
        <v>0.75</v>
      </c>
      <c r="G35" s="273">
        <v>0.67</v>
      </c>
      <c r="H35" s="361">
        <v>-1.03</v>
      </c>
    </row>
    <row r="36" spans="1:9" x14ac:dyDescent="0.25">
      <c r="B36" s="255"/>
      <c r="C36" s="255"/>
      <c r="D36" s="255"/>
      <c r="E36" s="255"/>
    </row>
    <row r="37" spans="1:9" ht="15.75" x14ac:dyDescent="0.25">
      <c r="A37" s="276" t="s">
        <v>233</v>
      </c>
      <c r="B37" s="277"/>
      <c r="C37" s="277"/>
      <c r="D37" s="277"/>
      <c r="E37" s="277"/>
      <c r="F37" s="277"/>
      <c r="G37" s="277"/>
      <c r="H37" s="277"/>
    </row>
    <row r="38" spans="1:9" ht="25.5" x14ac:dyDescent="0.25">
      <c r="A38" s="110" t="s">
        <v>86</v>
      </c>
      <c r="B38" s="111" t="s">
        <v>512</v>
      </c>
      <c r="C38" s="111" t="s">
        <v>372</v>
      </c>
      <c r="D38" s="111" t="s">
        <v>376</v>
      </c>
      <c r="E38" s="111" t="s">
        <v>380</v>
      </c>
      <c r="F38" s="111" t="s">
        <v>513</v>
      </c>
      <c r="G38" s="111" t="s">
        <v>514</v>
      </c>
      <c r="H38" s="111" t="s">
        <v>515</v>
      </c>
    </row>
    <row r="39" spans="1:9" x14ac:dyDescent="0.25">
      <c r="A39" s="8" t="s">
        <v>236</v>
      </c>
      <c r="B39" s="178"/>
      <c r="C39" s="178"/>
      <c r="D39" s="178"/>
      <c r="E39" s="178"/>
    </row>
    <row r="40" spans="1:9" x14ac:dyDescent="0.25">
      <c r="A40" s="8" t="s">
        <v>237</v>
      </c>
      <c r="B40" s="178"/>
      <c r="C40" s="178"/>
      <c r="D40" s="178"/>
      <c r="E40" s="178"/>
    </row>
    <row r="41" spans="1:9" x14ac:dyDescent="0.25">
      <c r="A41" s="8" t="s">
        <v>238</v>
      </c>
      <c r="B41" s="178">
        <v>17260573</v>
      </c>
      <c r="C41" s="178">
        <v>17524936</v>
      </c>
      <c r="D41" s="178">
        <v>21636317</v>
      </c>
      <c r="E41" s="178">
        <v>23300643</v>
      </c>
      <c r="F41" s="178">
        <v>25127639</v>
      </c>
      <c r="G41" s="178">
        <v>24850942</v>
      </c>
      <c r="H41" s="178">
        <v>24882817</v>
      </c>
      <c r="I41" s="255"/>
    </row>
    <row r="42" spans="1:9" x14ac:dyDescent="0.25">
      <c r="A42" s="8" t="s">
        <v>239</v>
      </c>
      <c r="B42" s="381" t="s">
        <v>516</v>
      </c>
      <c r="C42" s="381" t="s">
        <v>397</v>
      </c>
      <c r="D42" s="178">
        <v>247057</v>
      </c>
      <c r="E42" s="178">
        <v>247057</v>
      </c>
      <c r="F42" s="178">
        <v>247057</v>
      </c>
      <c r="G42" s="178">
        <v>195155</v>
      </c>
      <c r="H42" s="178">
        <v>92059</v>
      </c>
      <c r="I42" s="255"/>
    </row>
    <row r="43" spans="1:9" x14ac:dyDescent="0.25">
      <c r="A43" s="8" t="s">
        <v>410</v>
      </c>
      <c r="B43" s="382"/>
      <c r="C43" s="382"/>
      <c r="D43" s="178">
        <v>1152617</v>
      </c>
      <c r="E43" s="178">
        <v>1182256</v>
      </c>
      <c r="F43" s="178">
        <v>1160005</v>
      </c>
      <c r="G43" s="178">
        <v>1604634</v>
      </c>
      <c r="H43" s="178">
        <v>1693605</v>
      </c>
      <c r="I43" s="255"/>
    </row>
    <row r="44" spans="1:9" x14ac:dyDescent="0.25">
      <c r="A44" s="8" t="s">
        <v>408</v>
      </c>
      <c r="B44" s="268">
        <v>0</v>
      </c>
      <c r="C44" s="178">
        <v>764</v>
      </c>
      <c r="D44" s="178">
        <v>22717</v>
      </c>
      <c r="E44" s="178">
        <v>51986</v>
      </c>
      <c r="F44" s="178">
        <v>44398</v>
      </c>
      <c r="G44" s="178">
        <v>414584</v>
      </c>
      <c r="H44" s="178">
        <v>418127</v>
      </c>
      <c r="I44" s="255"/>
    </row>
    <row r="45" spans="1:9" x14ac:dyDescent="0.25">
      <c r="A45" s="8" t="s">
        <v>245</v>
      </c>
      <c r="B45" s="178">
        <v>179746</v>
      </c>
      <c r="C45" s="178">
        <v>177452</v>
      </c>
      <c r="D45" s="178">
        <v>193067</v>
      </c>
      <c r="E45" s="178">
        <v>305444</v>
      </c>
      <c r="F45" s="178">
        <v>587166</v>
      </c>
      <c r="G45" s="178">
        <v>377383</v>
      </c>
      <c r="H45" s="178">
        <v>433018</v>
      </c>
      <c r="I45" s="255"/>
    </row>
    <row r="46" spans="1:9" x14ac:dyDescent="0.25">
      <c r="A46" s="8" t="s">
        <v>246</v>
      </c>
      <c r="B46" s="178">
        <v>58547</v>
      </c>
      <c r="C46" s="178">
        <v>181832</v>
      </c>
      <c r="D46" s="178">
        <v>144923</v>
      </c>
      <c r="E46" s="178">
        <v>359709</v>
      </c>
      <c r="F46" s="178">
        <v>354704</v>
      </c>
      <c r="G46" s="178">
        <v>657943</v>
      </c>
      <c r="H46" s="178">
        <v>550375</v>
      </c>
      <c r="I46" s="255"/>
    </row>
    <row r="47" spans="1:9" x14ac:dyDescent="0.25">
      <c r="A47" s="186" t="s">
        <v>409</v>
      </c>
      <c r="B47" s="193">
        <v>152221.47021</v>
      </c>
      <c r="C47" s="193">
        <v>163063</v>
      </c>
      <c r="D47" s="193">
        <v>20079</v>
      </c>
      <c r="E47" s="193">
        <v>24135</v>
      </c>
      <c r="F47" s="193">
        <v>46039</v>
      </c>
      <c r="G47" s="193">
        <v>62108</v>
      </c>
      <c r="H47" s="193">
        <v>54184</v>
      </c>
      <c r="I47" s="255"/>
    </row>
    <row r="48" spans="1:9" x14ac:dyDescent="0.25">
      <c r="A48" s="20"/>
      <c r="B48" s="171">
        <v>17993953.470210001</v>
      </c>
      <c r="C48" s="171">
        <v>18394387</v>
      </c>
      <c r="D48" s="171">
        <v>23416777</v>
      </c>
      <c r="E48" s="171">
        <v>25471230</v>
      </c>
      <c r="F48" s="171">
        <v>27567008</v>
      </c>
      <c r="G48" s="171">
        <v>28162749</v>
      </c>
      <c r="H48" s="171">
        <v>28124185</v>
      </c>
      <c r="I48" s="255"/>
    </row>
    <row r="49" spans="1:9" x14ac:dyDescent="0.25">
      <c r="A49" s="20" t="s">
        <v>250</v>
      </c>
      <c r="B49" s="171"/>
      <c r="C49" s="171"/>
      <c r="D49" s="171"/>
      <c r="E49" s="171"/>
      <c r="F49" s="171"/>
      <c r="I49" s="255"/>
    </row>
    <row r="50" spans="1:9" x14ac:dyDescent="0.25">
      <c r="A50" s="20" t="s">
        <v>410</v>
      </c>
      <c r="B50" s="171">
        <v>481885</v>
      </c>
      <c r="C50" s="171">
        <v>624190</v>
      </c>
      <c r="D50" s="171">
        <v>870954</v>
      </c>
      <c r="E50" s="171">
        <v>711099</v>
      </c>
      <c r="F50" s="171">
        <v>1156550</v>
      </c>
      <c r="G50" s="171">
        <v>733048</v>
      </c>
      <c r="H50" s="171">
        <v>805388</v>
      </c>
      <c r="I50" s="255"/>
    </row>
    <row r="51" spans="1:9" x14ac:dyDescent="0.25">
      <c r="A51" s="20" t="s">
        <v>252</v>
      </c>
      <c r="B51" s="171">
        <v>536201</v>
      </c>
      <c r="C51" s="171">
        <v>408560</v>
      </c>
      <c r="D51" s="171">
        <v>574790</v>
      </c>
      <c r="E51" s="171">
        <v>708282</v>
      </c>
      <c r="F51" s="171">
        <v>509224</v>
      </c>
      <c r="G51" s="171">
        <v>527596</v>
      </c>
      <c r="H51" s="171">
        <v>433279</v>
      </c>
      <c r="I51" s="255"/>
    </row>
    <row r="52" spans="1:9" x14ac:dyDescent="0.25">
      <c r="A52" s="20" t="s">
        <v>411</v>
      </c>
      <c r="B52" s="171">
        <v>52926</v>
      </c>
      <c r="C52" s="171">
        <v>74749</v>
      </c>
      <c r="D52" s="171">
        <v>64266</v>
      </c>
      <c r="E52" s="171">
        <v>1434</v>
      </c>
      <c r="F52" s="171">
        <v>31890</v>
      </c>
      <c r="G52" s="171">
        <v>26489</v>
      </c>
      <c r="H52" s="171">
        <v>909</v>
      </c>
      <c r="I52" s="255"/>
    </row>
    <row r="53" spans="1:9" x14ac:dyDescent="0.25">
      <c r="A53" s="20" t="s">
        <v>412</v>
      </c>
      <c r="B53" s="171">
        <v>1874996</v>
      </c>
      <c r="C53" s="171">
        <v>2273145</v>
      </c>
      <c r="D53" s="171">
        <v>2743344</v>
      </c>
      <c r="E53" s="171">
        <v>3036695</v>
      </c>
      <c r="F53" s="171">
        <v>2134641</v>
      </c>
      <c r="G53" s="171">
        <v>1969169</v>
      </c>
      <c r="H53" s="171">
        <v>1854595</v>
      </c>
      <c r="I53" s="255"/>
    </row>
    <row r="54" spans="1:9" x14ac:dyDescent="0.25">
      <c r="A54" s="20" t="s">
        <v>245</v>
      </c>
      <c r="B54" s="171">
        <v>18753</v>
      </c>
      <c r="C54" s="171">
        <v>28193</v>
      </c>
      <c r="D54" s="171">
        <v>108024</v>
      </c>
      <c r="E54" s="171">
        <v>5422</v>
      </c>
      <c r="F54" s="171">
        <v>15878</v>
      </c>
      <c r="G54" s="171">
        <v>27539</v>
      </c>
      <c r="H54" s="171">
        <v>9772</v>
      </c>
      <c r="I54" s="255"/>
    </row>
    <row r="55" spans="1:9" x14ac:dyDescent="0.25">
      <c r="A55" s="20" t="s">
        <v>246</v>
      </c>
      <c r="B55" s="171">
        <v>158725</v>
      </c>
      <c r="C55" s="171">
        <v>145361</v>
      </c>
      <c r="D55" s="171">
        <v>234220</v>
      </c>
      <c r="E55" s="171">
        <v>272371</v>
      </c>
      <c r="F55" s="171">
        <v>270429</v>
      </c>
      <c r="G55" s="171">
        <v>353989</v>
      </c>
      <c r="H55" s="171">
        <v>460495</v>
      </c>
      <c r="I55" s="255"/>
    </row>
    <row r="56" spans="1:9" x14ac:dyDescent="0.25">
      <c r="A56" s="20" t="s">
        <v>256</v>
      </c>
      <c r="B56" s="171">
        <v>1032103</v>
      </c>
      <c r="C56" s="171">
        <v>1473981</v>
      </c>
      <c r="D56" s="171">
        <v>505670</v>
      </c>
      <c r="E56" s="171">
        <v>1030929</v>
      </c>
      <c r="F56" s="171">
        <v>636909</v>
      </c>
      <c r="G56" s="171">
        <v>1420909</v>
      </c>
      <c r="H56" s="171">
        <v>364912</v>
      </c>
      <c r="I56" s="255"/>
    </row>
    <row r="57" spans="1:9" x14ac:dyDescent="0.25">
      <c r="A57" s="25" t="s">
        <v>413</v>
      </c>
      <c r="B57" s="193">
        <v>5951</v>
      </c>
      <c r="C57" s="362">
        <v>4397</v>
      </c>
      <c r="D57" s="193">
        <v>8951</v>
      </c>
      <c r="E57" s="193">
        <v>36215</v>
      </c>
      <c r="F57" s="362">
        <v>33041</v>
      </c>
      <c r="G57" s="193">
        <v>1337705</v>
      </c>
      <c r="H57" s="193">
        <v>17898</v>
      </c>
      <c r="I57" s="255"/>
    </row>
    <row r="58" spans="1:9" x14ac:dyDescent="0.25">
      <c r="A58" s="8"/>
      <c r="B58" s="178">
        <f>4155589+B57</f>
        <v>4161540</v>
      </c>
      <c r="C58" s="178">
        <f>5028179+C57</f>
        <v>5032576</v>
      </c>
      <c r="D58" s="178">
        <f>5101268+D57</f>
        <v>5110219</v>
      </c>
      <c r="E58" s="178">
        <f>5766232+E57</f>
        <v>5802447</v>
      </c>
      <c r="F58" s="178">
        <f>4755521+F57</f>
        <v>4788562</v>
      </c>
      <c r="G58" s="178">
        <v>6396444</v>
      </c>
      <c r="H58" s="178">
        <v>3947248</v>
      </c>
      <c r="I58" s="255"/>
    </row>
    <row r="59" spans="1:9" x14ac:dyDescent="0.25">
      <c r="A59" s="8"/>
      <c r="B59" s="178"/>
      <c r="C59" s="178"/>
      <c r="D59" s="178"/>
      <c r="E59" s="178"/>
      <c r="F59" s="178"/>
      <c r="G59" s="178"/>
      <c r="H59" s="178"/>
    </row>
    <row r="60" spans="1:9" x14ac:dyDescent="0.25">
      <c r="A60" s="92" t="s">
        <v>258</v>
      </c>
      <c r="B60" s="286">
        <v>22155493.470210001</v>
      </c>
      <c r="C60" s="286">
        <v>23426963</v>
      </c>
      <c r="D60" s="286">
        <v>28526996</v>
      </c>
      <c r="E60" s="286">
        <v>31273677</v>
      </c>
      <c r="F60" s="286">
        <v>32355570</v>
      </c>
      <c r="G60" s="286">
        <v>34559193</v>
      </c>
      <c r="H60" s="286">
        <v>32071433</v>
      </c>
      <c r="I60" s="255"/>
    </row>
    <row r="61" spans="1:9" x14ac:dyDescent="0.25">
      <c r="A61" s="8"/>
      <c r="B61" s="178"/>
      <c r="C61" s="178"/>
      <c r="D61" s="178"/>
      <c r="E61" s="178"/>
      <c r="F61" s="178"/>
      <c r="G61" s="293"/>
      <c r="H61" s="293"/>
    </row>
    <row r="62" spans="1:9" x14ac:dyDescent="0.25">
      <c r="A62" s="14" t="s">
        <v>259</v>
      </c>
      <c r="B62" s="169"/>
      <c r="C62" s="169"/>
      <c r="D62" s="169"/>
      <c r="E62" s="169"/>
      <c r="F62" s="169"/>
    </row>
    <row r="63" spans="1:9" x14ac:dyDescent="0.25">
      <c r="A63" s="20" t="s">
        <v>260</v>
      </c>
      <c r="B63" s="171"/>
      <c r="C63" s="171"/>
      <c r="D63" s="171"/>
      <c r="E63" s="171"/>
    </row>
    <row r="64" spans="1:9" x14ac:dyDescent="0.25">
      <c r="A64" s="20" t="s">
        <v>261</v>
      </c>
      <c r="B64" s="171">
        <v>13986284</v>
      </c>
      <c r="C64" s="171">
        <v>15772945</v>
      </c>
      <c r="D64" s="171">
        <v>8762747</v>
      </c>
      <c r="E64" s="171">
        <v>8762747</v>
      </c>
      <c r="F64" s="171">
        <v>8762747</v>
      </c>
      <c r="G64" s="171">
        <v>8762747</v>
      </c>
      <c r="H64" s="171">
        <v>8762747</v>
      </c>
      <c r="I64" s="255"/>
    </row>
    <row r="65" spans="1:9" x14ac:dyDescent="0.25">
      <c r="A65" s="20" t="s">
        <v>263</v>
      </c>
      <c r="B65" s="171">
        <v>64050</v>
      </c>
      <c r="C65" s="171">
        <v>475088</v>
      </c>
      <c r="D65" s="171">
        <v>7412882</v>
      </c>
      <c r="E65" s="171">
        <v>7953021</v>
      </c>
      <c r="F65" s="171">
        <v>9037699</v>
      </c>
      <c r="G65" s="171">
        <v>10393686</v>
      </c>
      <c r="H65" s="171">
        <v>11277247</v>
      </c>
      <c r="I65" s="255"/>
    </row>
    <row r="66" spans="1:9" x14ac:dyDescent="0.25">
      <c r="A66" s="20" t="s">
        <v>264</v>
      </c>
      <c r="B66" s="171">
        <v>-766</v>
      </c>
      <c r="C66" s="363">
        <v>0</v>
      </c>
      <c r="D66" s="363">
        <v>0</v>
      </c>
      <c r="E66" s="171">
        <v>-153703</v>
      </c>
      <c r="F66" s="171">
        <v>-126651</v>
      </c>
      <c r="G66" s="171">
        <v>-143019</v>
      </c>
      <c r="H66" s="171">
        <v>-73414</v>
      </c>
      <c r="I66" s="255"/>
    </row>
    <row r="67" spans="1:9" x14ac:dyDescent="0.25">
      <c r="A67" s="20" t="s">
        <v>220</v>
      </c>
      <c r="B67" s="363">
        <v>0</v>
      </c>
      <c r="C67" s="171">
        <v>-271</v>
      </c>
      <c r="D67" s="171">
        <v>87</v>
      </c>
      <c r="E67" s="171">
        <v>-370</v>
      </c>
      <c r="F67" s="171">
        <v>-1631</v>
      </c>
      <c r="G67" s="171">
        <v>-1386</v>
      </c>
      <c r="H67" s="171">
        <v>-791</v>
      </c>
      <c r="I67" s="255"/>
    </row>
    <row r="68" spans="1:9" x14ac:dyDescent="0.25">
      <c r="A68" s="25" t="s">
        <v>415</v>
      </c>
      <c r="B68" s="193">
        <v>-2191001.9824599996</v>
      </c>
      <c r="C68" s="193">
        <v>-1641605</v>
      </c>
      <c r="D68" s="193">
        <v>-481414</v>
      </c>
      <c r="E68" s="193">
        <v>-255014</v>
      </c>
      <c r="F68" s="193">
        <v>-344999</v>
      </c>
      <c r="G68" s="193">
        <v>-1045580</v>
      </c>
      <c r="H68" s="193">
        <v>-3947461</v>
      </c>
      <c r="I68" s="255"/>
    </row>
    <row r="69" spans="1:9" x14ac:dyDescent="0.25">
      <c r="A69" s="8"/>
      <c r="B69" s="171">
        <v>11858566.01754</v>
      </c>
      <c r="C69" s="171">
        <v>14606157</v>
      </c>
      <c r="D69" s="171">
        <v>15694302</v>
      </c>
      <c r="E69" s="171">
        <v>16306681</v>
      </c>
      <c r="F69" s="171">
        <v>17327165</v>
      </c>
      <c r="G69" s="171">
        <v>17966448</v>
      </c>
      <c r="H69" s="171">
        <v>16018328</v>
      </c>
      <c r="I69" s="255"/>
    </row>
    <row r="70" spans="1:9" x14ac:dyDescent="0.25">
      <c r="A70" s="8"/>
      <c r="B70" s="178"/>
      <c r="C70" s="178"/>
      <c r="D70" s="178"/>
      <c r="E70" s="178"/>
      <c r="F70" s="178"/>
      <c r="G70" s="178"/>
      <c r="H70" s="178"/>
      <c r="I70" s="255"/>
    </row>
    <row r="71" spans="1:9" x14ac:dyDescent="0.25">
      <c r="A71" s="8" t="s">
        <v>267</v>
      </c>
      <c r="B71" s="178">
        <v>2375100.4148599999</v>
      </c>
      <c r="C71" s="178">
        <v>496279</v>
      </c>
      <c r="D71" s="178">
        <v>455203</v>
      </c>
      <c r="E71" s="178">
        <v>493339</v>
      </c>
      <c r="F71" s="178">
        <v>466334</v>
      </c>
      <c r="G71" s="178">
        <v>30116</v>
      </c>
      <c r="H71" s="178">
        <v>29829</v>
      </c>
      <c r="I71" s="255"/>
    </row>
    <row r="72" spans="1:9" x14ac:dyDescent="0.25">
      <c r="A72" s="8"/>
      <c r="B72" s="178"/>
      <c r="C72" s="178"/>
      <c r="D72" s="178"/>
      <c r="E72" s="178"/>
      <c r="F72" s="178"/>
      <c r="G72" s="178"/>
      <c r="H72" s="178"/>
      <c r="I72" s="255"/>
    </row>
    <row r="73" spans="1:9" x14ac:dyDescent="0.25">
      <c r="A73" s="37" t="s">
        <v>268</v>
      </c>
      <c r="B73" s="293">
        <v>14233666.432399999</v>
      </c>
      <c r="C73" s="293">
        <v>15102436</v>
      </c>
      <c r="D73" s="293">
        <v>16149505</v>
      </c>
      <c r="E73" s="293">
        <v>16800020</v>
      </c>
      <c r="F73" s="293">
        <v>17793499</v>
      </c>
      <c r="G73" s="293">
        <v>17996564</v>
      </c>
      <c r="H73" s="293">
        <v>16048157</v>
      </c>
      <c r="I73" s="255"/>
    </row>
    <row r="74" spans="1:9" x14ac:dyDescent="0.25">
      <c r="A74" s="8"/>
      <c r="B74" s="178"/>
      <c r="C74" s="178"/>
      <c r="D74" s="178"/>
      <c r="E74" s="178"/>
      <c r="F74" s="178"/>
      <c r="G74" s="178"/>
      <c r="H74" s="178"/>
    </row>
    <row r="75" spans="1:9" x14ac:dyDescent="0.25">
      <c r="A75" s="14" t="s">
        <v>269</v>
      </c>
      <c r="B75" s="169"/>
      <c r="C75" s="169"/>
      <c r="D75" s="169"/>
      <c r="E75" s="169"/>
      <c r="F75" s="169"/>
      <c r="G75" s="169"/>
      <c r="H75" s="169"/>
    </row>
    <row r="76" spans="1:9" x14ac:dyDescent="0.25">
      <c r="A76" s="20" t="s">
        <v>416</v>
      </c>
      <c r="B76" s="171">
        <v>1179406</v>
      </c>
      <c r="C76" s="171">
        <v>1076178</v>
      </c>
      <c r="D76" s="171">
        <v>4251944</v>
      </c>
      <c r="E76" s="171">
        <v>5222882</v>
      </c>
      <c r="F76" s="171">
        <v>5500532</v>
      </c>
      <c r="G76" s="171">
        <v>7422332</v>
      </c>
      <c r="H76" s="171">
        <v>4890404</v>
      </c>
      <c r="I76" s="255"/>
    </row>
    <row r="77" spans="1:9" x14ac:dyDescent="0.25">
      <c r="A77" s="20" t="s">
        <v>417</v>
      </c>
      <c r="B77" s="171">
        <v>88291</v>
      </c>
      <c r="C77" s="171">
        <v>67810</v>
      </c>
      <c r="D77" s="171">
        <v>56232</v>
      </c>
      <c r="E77" s="171">
        <v>41796</v>
      </c>
      <c r="F77" s="171">
        <v>61643</v>
      </c>
      <c r="G77" s="171">
        <v>46443</v>
      </c>
      <c r="H77" s="171">
        <v>33723</v>
      </c>
      <c r="I77" s="255"/>
    </row>
    <row r="78" spans="1:9" x14ac:dyDescent="0.25">
      <c r="A78" s="20" t="s">
        <v>418</v>
      </c>
      <c r="B78" s="171">
        <v>5683</v>
      </c>
      <c r="C78" s="171">
        <v>6910</v>
      </c>
      <c r="D78" s="171">
        <v>7968</v>
      </c>
      <c r="E78" s="171">
        <v>7890</v>
      </c>
      <c r="F78" s="171">
        <v>7827</v>
      </c>
      <c r="G78" s="171">
        <v>48986</v>
      </c>
      <c r="H78" s="171">
        <v>86549</v>
      </c>
      <c r="I78" s="255"/>
    </row>
    <row r="79" spans="1:9" x14ac:dyDescent="0.25">
      <c r="A79" s="20" t="s">
        <v>419</v>
      </c>
      <c r="B79" s="283" t="s">
        <v>420</v>
      </c>
      <c r="C79" s="363">
        <v>0</v>
      </c>
      <c r="D79" s="363">
        <v>0</v>
      </c>
      <c r="E79" s="171">
        <v>150594</v>
      </c>
      <c r="F79" s="171">
        <v>87573</v>
      </c>
      <c r="G79" s="171">
        <v>93501</v>
      </c>
      <c r="H79" s="171">
        <v>15156</v>
      </c>
      <c r="I79" s="255"/>
    </row>
    <row r="80" spans="1:9" x14ac:dyDescent="0.25">
      <c r="A80" s="20" t="s">
        <v>271</v>
      </c>
      <c r="B80" s="383" t="s">
        <v>517</v>
      </c>
      <c r="C80" s="171">
        <v>1158941</v>
      </c>
      <c r="D80" s="171">
        <v>1203375</v>
      </c>
      <c r="E80" s="171">
        <v>1568219</v>
      </c>
      <c r="F80" s="171">
        <v>1497814</v>
      </c>
      <c r="G80" s="171">
        <v>1948323</v>
      </c>
      <c r="H80" s="171">
        <v>1735206</v>
      </c>
      <c r="I80" s="255"/>
    </row>
    <row r="81" spans="1:9" x14ac:dyDescent="0.25">
      <c r="A81" s="20" t="s">
        <v>430</v>
      </c>
      <c r="B81" s="384"/>
      <c r="C81" s="171">
        <v>30861</v>
      </c>
      <c r="D81" s="171">
        <v>61200</v>
      </c>
      <c r="E81" s="171">
        <v>82523</v>
      </c>
      <c r="F81" s="171">
        <v>141408</v>
      </c>
      <c r="G81" s="171">
        <v>165278</v>
      </c>
      <c r="H81" s="171">
        <v>377372</v>
      </c>
      <c r="I81" s="255"/>
    </row>
    <row r="82" spans="1:9" x14ac:dyDescent="0.25">
      <c r="A82" s="20" t="s">
        <v>273</v>
      </c>
      <c r="B82" s="171">
        <v>624567</v>
      </c>
      <c r="C82" s="171">
        <v>644522</v>
      </c>
      <c r="D82" s="171">
        <v>569562</v>
      </c>
      <c r="E82" s="171">
        <v>639643</v>
      </c>
      <c r="F82" s="171">
        <v>668487</v>
      </c>
      <c r="G82" s="171">
        <v>662072</v>
      </c>
      <c r="H82" s="171">
        <v>650364</v>
      </c>
      <c r="I82" s="255"/>
    </row>
    <row r="83" spans="1:9" x14ac:dyDescent="0.25">
      <c r="A83" s="186" t="s">
        <v>431</v>
      </c>
      <c r="B83" s="193">
        <v>1150695</v>
      </c>
      <c r="C83" s="193">
        <v>1191155</v>
      </c>
      <c r="D83" s="193">
        <v>1388424</v>
      </c>
      <c r="E83" s="193">
        <v>1367687</v>
      </c>
      <c r="F83" s="193">
        <v>1339057</v>
      </c>
      <c r="G83" s="193">
        <v>1357157</v>
      </c>
      <c r="H83" s="193">
        <v>795176</v>
      </c>
      <c r="I83" s="255"/>
    </row>
    <row r="84" spans="1:9" x14ac:dyDescent="0.25">
      <c r="A84" s="20"/>
      <c r="B84" s="171">
        <v>4027449</v>
      </c>
      <c r="C84" s="171">
        <v>4176377</v>
      </c>
      <c r="D84" s="171">
        <v>7538705</v>
      </c>
      <c r="E84" s="171">
        <v>9081234</v>
      </c>
      <c r="F84" s="171">
        <v>9304341</v>
      </c>
      <c r="G84" s="171">
        <v>11744092</v>
      </c>
      <c r="H84" s="171">
        <v>8583950</v>
      </c>
      <c r="I84" s="255"/>
    </row>
    <row r="85" spans="1:9" x14ac:dyDescent="0.25">
      <c r="A85" s="20" t="s">
        <v>276</v>
      </c>
      <c r="B85" s="171"/>
      <c r="C85" s="171"/>
      <c r="D85" s="171"/>
      <c r="E85" s="171"/>
      <c r="F85" s="171"/>
      <c r="I85" s="255"/>
    </row>
    <row r="86" spans="1:9" x14ac:dyDescent="0.25">
      <c r="A86" s="20" t="s">
        <v>432</v>
      </c>
      <c r="B86" s="171">
        <v>596315</v>
      </c>
      <c r="C86" s="171">
        <v>325027</v>
      </c>
      <c r="D86" s="171">
        <v>214169</v>
      </c>
      <c r="E86" s="171">
        <v>286990</v>
      </c>
      <c r="F86" s="171">
        <v>284633</v>
      </c>
      <c r="G86" s="171">
        <v>631530</v>
      </c>
      <c r="H86" s="171">
        <v>3201805</v>
      </c>
      <c r="I86" s="255"/>
    </row>
    <row r="87" spans="1:9" x14ac:dyDescent="0.25">
      <c r="A87" s="20" t="s">
        <v>433</v>
      </c>
      <c r="B87" s="171">
        <v>35377</v>
      </c>
      <c r="C87" s="171">
        <v>23452</v>
      </c>
      <c r="D87" s="171">
        <v>14761</v>
      </c>
      <c r="E87" s="171">
        <v>14482</v>
      </c>
      <c r="F87" s="171">
        <v>17327</v>
      </c>
      <c r="G87" s="171">
        <v>13461</v>
      </c>
      <c r="H87" s="171">
        <v>12715</v>
      </c>
      <c r="I87" s="255"/>
    </row>
    <row r="88" spans="1:9" x14ac:dyDescent="0.25">
      <c r="A88" s="20" t="s">
        <v>434</v>
      </c>
      <c r="B88" s="171">
        <v>1490726</v>
      </c>
      <c r="C88" s="171">
        <v>1622806</v>
      </c>
      <c r="D88" s="171">
        <v>2349121</v>
      </c>
      <c r="E88" s="171">
        <v>2628449</v>
      </c>
      <c r="F88" s="171">
        <v>2023537</v>
      </c>
      <c r="G88" s="171">
        <v>1866865</v>
      </c>
      <c r="H88" s="171">
        <v>1801262</v>
      </c>
      <c r="I88" s="255"/>
    </row>
    <row r="89" spans="1:9" x14ac:dyDescent="0.25">
      <c r="A89" s="20" t="s">
        <v>419</v>
      </c>
      <c r="B89" s="283" t="s">
        <v>420</v>
      </c>
      <c r="C89" s="171">
        <v>6917</v>
      </c>
      <c r="D89" s="171">
        <v>80</v>
      </c>
      <c r="E89" s="171">
        <v>40624</v>
      </c>
      <c r="F89" s="171">
        <v>73358</v>
      </c>
      <c r="G89" s="171">
        <v>102615</v>
      </c>
      <c r="H89" s="171">
        <v>96953</v>
      </c>
      <c r="I89" s="255"/>
    </row>
    <row r="90" spans="1:9" x14ac:dyDescent="0.25">
      <c r="A90" s="20" t="s">
        <v>271</v>
      </c>
      <c r="B90" s="383" t="s">
        <v>518</v>
      </c>
      <c r="C90" s="171">
        <v>169492</v>
      </c>
      <c r="D90" s="171">
        <v>153676</v>
      </c>
      <c r="E90" s="171">
        <v>167704</v>
      </c>
      <c r="F90" s="171">
        <v>162368</v>
      </c>
      <c r="G90" s="171">
        <v>158954</v>
      </c>
      <c r="H90" s="171">
        <v>172505</v>
      </c>
      <c r="I90" s="255"/>
    </row>
    <row r="91" spans="1:9" x14ac:dyDescent="0.25">
      <c r="A91" s="20" t="s">
        <v>430</v>
      </c>
      <c r="B91" s="384"/>
      <c r="C91" s="171">
        <v>989253</v>
      </c>
      <c r="D91" s="171">
        <v>1023328</v>
      </c>
      <c r="E91" s="171">
        <v>1103036</v>
      </c>
      <c r="F91" s="171">
        <v>1563019</v>
      </c>
      <c r="G91" s="171">
        <v>1081415</v>
      </c>
      <c r="H91" s="171">
        <v>1196178</v>
      </c>
      <c r="I91" s="255"/>
    </row>
    <row r="92" spans="1:9" x14ac:dyDescent="0.25">
      <c r="A92" s="20" t="s">
        <v>273</v>
      </c>
      <c r="B92" s="171">
        <v>210267</v>
      </c>
      <c r="C92" s="171">
        <v>189712</v>
      </c>
      <c r="D92" s="171">
        <v>275147</v>
      </c>
      <c r="E92" s="171">
        <v>268870</v>
      </c>
      <c r="F92" s="171">
        <v>239639</v>
      </c>
      <c r="G92" s="171">
        <v>245520</v>
      </c>
      <c r="H92" s="171">
        <v>254337</v>
      </c>
      <c r="I92" s="255"/>
    </row>
    <row r="93" spans="1:9" x14ac:dyDescent="0.25">
      <c r="A93" s="20" t="s">
        <v>444</v>
      </c>
      <c r="B93" s="171">
        <v>67034</v>
      </c>
      <c r="C93" s="171">
        <v>68672</v>
      </c>
      <c r="D93" s="171">
        <v>163437</v>
      </c>
      <c r="E93" s="171">
        <v>113034</v>
      </c>
      <c r="F93" s="171">
        <v>79035</v>
      </c>
      <c r="G93" s="171">
        <v>13518</v>
      </c>
      <c r="H93" s="171">
        <v>85357</v>
      </c>
      <c r="I93" s="255"/>
    </row>
    <row r="94" spans="1:9" x14ac:dyDescent="0.25">
      <c r="A94" s="20" t="s">
        <v>283</v>
      </c>
      <c r="B94" s="171">
        <v>556669</v>
      </c>
      <c r="C94" s="171">
        <v>752819</v>
      </c>
      <c r="D94" s="171">
        <v>645067</v>
      </c>
      <c r="E94" s="171">
        <v>769234</v>
      </c>
      <c r="F94" s="171">
        <v>814814</v>
      </c>
      <c r="G94" s="171">
        <v>619689</v>
      </c>
      <c r="H94" s="171">
        <v>618214</v>
      </c>
      <c r="I94" s="255"/>
    </row>
    <row r="95" spans="1:9" x14ac:dyDescent="0.25">
      <c r="A95" s="25" t="s">
        <v>445</v>
      </c>
      <c r="B95" s="275">
        <v>0</v>
      </c>
      <c r="C95" s="275">
        <v>0</v>
      </c>
      <c r="D95" s="275">
        <v>0</v>
      </c>
      <c r="E95" s="275">
        <v>0</v>
      </c>
      <c r="F95" s="275">
        <v>0</v>
      </c>
      <c r="G95" s="193">
        <v>84970</v>
      </c>
      <c r="H95" s="364">
        <v>0</v>
      </c>
      <c r="I95" s="255"/>
    </row>
    <row r="96" spans="1:9" x14ac:dyDescent="0.25">
      <c r="A96" s="8"/>
      <c r="B96" s="178">
        <v>3894378</v>
      </c>
      <c r="C96" s="178">
        <v>4148150</v>
      </c>
      <c r="D96" s="178">
        <v>4838786</v>
      </c>
      <c r="E96" s="178">
        <v>5392423</v>
      </c>
      <c r="F96" s="178">
        <v>5257730</v>
      </c>
      <c r="G96" s="178">
        <v>4818537</v>
      </c>
      <c r="H96" s="178">
        <v>7439326</v>
      </c>
      <c r="I96" s="255"/>
    </row>
    <row r="97" spans="1:9" x14ac:dyDescent="0.25">
      <c r="A97" s="8"/>
      <c r="B97" s="178"/>
      <c r="C97" s="178"/>
      <c r="D97" s="178"/>
      <c r="E97" s="178"/>
      <c r="F97" s="178"/>
      <c r="G97" s="178"/>
      <c r="H97" s="178"/>
      <c r="I97" s="255"/>
    </row>
    <row r="98" spans="1:9" x14ac:dyDescent="0.25">
      <c r="A98" s="37" t="s">
        <v>284</v>
      </c>
      <c r="B98" s="293">
        <v>7921827</v>
      </c>
      <c r="C98" s="293">
        <v>8324527</v>
      </c>
      <c r="D98" s="293">
        <v>12377491</v>
      </c>
      <c r="E98" s="293">
        <v>14473657</v>
      </c>
      <c r="F98" s="293">
        <v>14562071</v>
      </c>
      <c r="G98" s="293">
        <v>16562629</v>
      </c>
      <c r="H98" s="293">
        <v>16023276</v>
      </c>
      <c r="I98" s="255"/>
    </row>
    <row r="99" spans="1:9" x14ac:dyDescent="0.25">
      <c r="A99" s="8"/>
      <c r="B99" s="178"/>
      <c r="C99" s="178"/>
      <c r="D99" s="178"/>
      <c r="E99" s="178"/>
      <c r="F99" s="178"/>
      <c r="G99" s="178"/>
      <c r="H99" s="178"/>
      <c r="I99" s="255"/>
    </row>
    <row r="100" spans="1:9" x14ac:dyDescent="0.25">
      <c r="A100" s="92" t="s">
        <v>285</v>
      </c>
      <c r="B100" s="286">
        <v>22155493</v>
      </c>
      <c r="C100" s="286">
        <v>23426963</v>
      </c>
      <c r="D100" s="286">
        <v>28526996</v>
      </c>
      <c r="E100" s="286">
        <v>31273677</v>
      </c>
      <c r="F100" s="286">
        <v>32355570</v>
      </c>
      <c r="G100" s="286">
        <v>34559193</v>
      </c>
      <c r="H100" s="286">
        <v>32071433</v>
      </c>
      <c r="I100" s="255"/>
    </row>
    <row r="101" spans="1:9" x14ac:dyDescent="0.25">
      <c r="B101" s="255"/>
      <c r="C101" s="255"/>
      <c r="D101" s="255"/>
      <c r="E101" s="255"/>
      <c r="F101" s="255"/>
    </row>
    <row r="102" spans="1:9" ht="15.75" x14ac:dyDescent="0.25">
      <c r="A102" s="276" t="s">
        <v>286</v>
      </c>
      <c r="B102" s="298"/>
      <c r="C102" s="298"/>
      <c r="D102" s="298"/>
      <c r="E102" s="298"/>
      <c r="F102" s="298"/>
      <c r="G102" s="298"/>
      <c r="H102" s="298"/>
    </row>
    <row r="103" spans="1:9" ht="38.25" x14ac:dyDescent="0.25">
      <c r="A103" s="300" t="s">
        <v>86</v>
      </c>
      <c r="B103" s="111" t="s">
        <v>505</v>
      </c>
      <c r="C103" s="111" t="s">
        <v>506</v>
      </c>
      <c r="D103" s="111" t="s">
        <v>507</v>
      </c>
      <c r="E103" s="111" t="s">
        <v>508</v>
      </c>
      <c r="F103" s="111" t="s">
        <v>509</v>
      </c>
      <c r="G103" s="111" t="s">
        <v>510</v>
      </c>
      <c r="H103" s="111" t="s">
        <v>511</v>
      </c>
    </row>
    <row r="104" spans="1:9" x14ac:dyDescent="0.25">
      <c r="A104" s="49" t="s">
        <v>287</v>
      </c>
      <c r="B104" s="287"/>
      <c r="C104" s="287"/>
      <c r="D104" s="287"/>
      <c r="E104" s="287"/>
      <c r="F104" s="287"/>
      <c r="G104" s="287"/>
      <c r="H104" s="287"/>
    </row>
    <row r="105" spans="1:9" x14ac:dyDescent="0.25">
      <c r="A105" s="303" t="s">
        <v>355</v>
      </c>
      <c r="B105" s="178">
        <v>1226069</v>
      </c>
      <c r="C105" s="178">
        <v>1257314</v>
      </c>
      <c r="D105" s="178">
        <v>1599951</v>
      </c>
      <c r="E105" s="178">
        <v>1947577</v>
      </c>
      <c r="F105" s="178">
        <v>1683621</v>
      </c>
      <c r="G105" s="178">
        <v>1498215</v>
      </c>
      <c r="H105" s="23">
        <v>-2187771</v>
      </c>
      <c r="I105" s="255"/>
    </row>
    <row r="106" spans="1:9" x14ac:dyDescent="0.25">
      <c r="A106" s="8" t="s">
        <v>447</v>
      </c>
      <c r="B106" s="178"/>
      <c r="C106" s="178"/>
      <c r="D106" s="178"/>
      <c r="E106" s="178"/>
      <c r="F106" s="178"/>
      <c r="G106" s="178"/>
      <c r="H106" s="23"/>
      <c r="I106" s="255"/>
    </row>
    <row r="107" spans="1:9" x14ac:dyDescent="0.25">
      <c r="A107" s="303" t="s">
        <v>448</v>
      </c>
      <c r="B107" s="365">
        <v>0</v>
      </c>
      <c r="C107" s="178">
        <v>236</v>
      </c>
      <c r="D107" s="178">
        <v>1046</v>
      </c>
      <c r="E107" s="178">
        <v>1734</v>
      </c>
      <c r="F107" s="178">
        <v>2709</v>
      </c>
      <c r="G107" s="178">
        <v>936</v>
      </c>
      <c r="H107" s="23">
        <v>-7933</v>
      </c>
      <c r="I107" s="255"/>
    </row>
    <row r="108" spans="1:9" x14ac:dyDescent="0.25">
      <c r="A108" s="52" t="s">
        <v>289</v>
      </c>
      <c r="B108" s="178">
        <v>1321028</v>
      </c>
      <c r="C108" s="178">
        <v>1358778</v>
      </c>
      <c r="D108" s="178">
        <v>1411097</v>
      </c>
      <c r="E108" s="178">
        <v>1686204</v>
      </c>
      <c r="F108" s="178">
        <v>1727069</v>
      </c>
      <c r="G108" s="178">
        <v>1796917</v>
      </c>
      <c r="H108" s="178">
        <v>1832780</v>
      </c>
      <c r="I108" s="255"/>
    </row>
    <row r="109" spans="1:9" x14ac:dyDescent="0.25">
      <c r="A109" s="52" t="s">
        <v>449</v>
      </c>
      <c r="B109" s="178">
        <v>2963</v>
      </c>
      <c r="C109" s="178">
        <v>43</v>
      </c>
      <c r="D109" s="178">
        <v>2819</v>
      </c>
      <c r="E109" s="23">
        <v>-391</v>
      </c>
      <c r="F109" s="178">
        <v>847</v>
      </c>
      <c r="G109" s="178">
        <v>7257</v>
      </c>
      <c r="H109" s="23">
        <v>-715</v>
      </c>
      <c r="I109" s="255"/>
    </row>
    <row r="110" spans="1:9" x14ac:dyDescent="0.25">
      <c r="A110" s="52" t="s">
        <v>450</v>
      </c>
      <c r="B110" s="178">
        <v>94116</v>
      </c>
      <c r="C110" s="178">
        <v>132331</v>
      </c>
      <c r="D110" s="178">
        <v>58294</v>
      </c>
      <c r="E110" s="178">
        <v>225526</v>
      </c>
      <c r="F110" s="178">
        <v>220283</v>
      </c>
      <c r="G110" s="178">
        <v>286733</v>
      </c>
      <c r="H110" s="178">
        <v>273502</v>
      </c>
      <c r="I110" s="255"/>
    </row>
    <row r="111" spans="1:9" x14ac:dyDescent="0.25">
      <c r="A111" s="52" t="s">
        <v>451</v>
      </c>
      <c r="B111" s="23">
        <v>-54215</v>
      </c>
      <c r="C111" s="178">
        <v>13153</v>
      </c>
      <c r="D111" s="23">
        <v>-16568</v>
      </c>
      <c r="E111" s="178">
        <v>35315</v>
      </c>
      <c r="F111" s="178">
        <v>317714</v>
      </c>
      <c r="G111" s="178">
        <v>44543</v>
      </c>
      <c r="H111" s="178">
        <v>3608822</v>
      </c>
      <c r="I111" s="255"/>
    </row>
    <row r="112" spans="1:9" x14ac:dyDescent="0.25">
      <c r="A112" s="52" t="s">
        <v>452</v>
      </c>
      <c r="B112" s="23">
        <v>-603601</v>
      </c>
      <c r="C112" s="23">
        <v>-395393</v>
      </c>
      <c r="D112" s="23">
        <v>-147945</v>
      </c>
      <c r="E112" s="23">
        <v>-291704</v>
      </c>
      <c r="F112" s="178">
        <v>924417</v>
      </c>
      <c r="G112" s="178">
        <v>111716</v>
      </c>
      <c r="H112" s="178">
        <v>118806</v>
      </c>
      <c r="I112" s="255"/>
    </row>
    <row r="113" spans="1:9" x14ac:dyDescent="0.25">
      <c r="A113" s="52" t="s">
        <v>453</v>
      </c>
      <c r="B113" s="23">
        <v>-193124</v>
      </c>
      <c r="C113" s="178">
        <v>117372</v>
      </c>
      <c r="D113" s="23">
        <v>-184588</v>
      </c>
      <c r="E113" s="23">
        <v>-136092</v>
      </c>
      <c r="F113" s="178">
        <v>186768</v>
      </c>
      <c r="G113" s="23">
        <v>-43868</v>
      </c>
      <c r="H113" s="178">
        <v>90497</v>
      </c>
      <c r="I113" s="255"/>
    </row>
    <row r="114" spans="1:9" x14ac:dyDescent="0.25">
      <c r="A114" s="52" t="s">
        <v>454</v>
      </c>
      <c r="B114" s="178">
        <v>334007</v>
      </c>
      <c r="C114" s="178">
        <v>215558</v>
      </c>
      <c r="D114" s="23">
        <v>-76220</v>
      </c>
      <c r="E114" s="178">
        <v>70212</v>
      </c>
      <c r="F114" s="23">
        <v>-328877</v>
      </c>
      <c r="G114" s="23">
        <v>-234014</v>
      </c>
      <c r="H114" s="23">
        <v>-180636</v>
      </c>
      <c r="I114" s="255"/>
    </row>
    <row r="115" spans="1:9" x14ac:dyDescent="0.25">
      <c r="A115" s="52" t="s">
        <v>455</v>
      </c>
      <c r="B115" s="23">
        <v>-296073</v>
      </c>
      <c r="C115" s="23">
        <v>-111089</v>
      </c>
      <c r="D115" s="23">
        <v>-76604</v>
      </c>
      <c r="E115" s="178">
        <v>74912</v>
      </c>
      <c r="F115" s="23">
        <v>-492481</v>
      </c>
      <c r="G115" s="23">
        <v>-178409</v>
      </c>
      <c r="H115" s="23">
        <v>-104176</v>
      </c>
      <c r="I115" s="255"/>
    </row>
    <row r="116" spans="1:9" x14ac:dyDescent="0.25">
      <c r="A116" s="52" t="s">
        <v>502</v>
      </c>
      <c r="B116" s="178">
        <v>8864</v>
      </c>
      <c r="C116" s="23">
        <v>-31098</v>
      </c>
      <c r="D116" s="23">
        <v>-39152</v>
      </c>
      <c r="E116" s="23">
        <v>-65253</v>
      </c>
      <c r="F116" s="23">
        <v>-115596</v>
      </c>
      <c r="G116" s="23">
        <v>-67333</v>
      </c>
      <c r="H116" s="23">
        <v>-73962</v>
      </c>
      <c r="I116" s="255"/>
    </row>
    <row r="117" spans="1:9" x14ac:dyDescent="0.25">
      <c r="A117" s="52" t="s">
        <v>457</v>
      </c>
      <c r="B117" s="178">
        <v>233714</v>
      </c>
      <c r="C117" s="178">
        <v>201130</v>
      </c>
      <c r="D117" s="23">
        <v>-210035</v>
      </c>
      <c r="E117" s="178">
        <v>260546</v>
      </c>
      <c r="F117" s="178">
        <v>423730</v>
      </c>
      <c r="G117" s="23">
        <v>-295463</v>
      </c>
      <c r="H117" s="23">
        <v>141843</v>
      </c>
      <c r="I117" s="255"/>
    </row>
    <row r="118" spans="1:9" x14ac:dyDescent="0.25">
      <c r="A118" s="52" t="s">
        <v>295</v>
      </c>
      <c r="B118" s="23">
        <v>-111648</v>
      </c>
      <c r="C118" s="23">
        <v>-238400</v>
      </c>
      <c r="D118" s="23">
        <v>-111929</v>
      </c>
      <c r="E118" s="23">
        <v>-328845</v>
      </c>
      <c r="F118" s="23">
        <v>-466637</v>
      </c>
      <c r="G118" s="23">
        <v>-308393</v>
      </c>
      <c r="H118" s="23">
        <v>-111716</v>
      </c>
      <c r="I118" s="255"/>
    </row>
    <row r="119" spans="1:9" x14ac:dyDescent="0.25">
      <c r="A119" s="52" t="s">
        <v>519</v>
      </c>
      <c r="B119" s="178">
        <v>911</v>
      </c>
      <c r="C119" s="178">
        <v>0</v>
      </c>
      <c r="D119" s="366">
        <v>0</v>
      </c>
      <c r="E119" s="366">
        <v>0</v>
      </c>
      <c r="F119" s="366">
        <v>0</v>
      </c>
      <c r="G119" s="366">
        <v>0</v>
      </c>
      <c r="H119" s="366">
        <v>0</v>
      </c>
      <c r="I119" s="255"/>
    </row>
    <row r="120" spans="1:9" x14ac:dyDescent="0.25">
      <c r="A120" s="52" t="s">
        <v>134</v>
      </c>
      <c r="B120" s="178">
        <v>188</v>
      </c>
      <c r="C120" s="178">
        <v>410</v>
      </c>
      <c r="D120" s="23">
        <v>-1240</v>
      </c>
      <c r="E120" s="23">
        <v>-690</v>
      </c>
      <c r="F120" s="23">
        <v>-4485</v>
      </c>
      <c r="G120" s="23">
        <v>-930</v>
      </c>
      <c r="H120" s="23">
        <v>-11883</v>
      </c>
      <c r="I120" s="255"/>
    </row>
    <row r="121" spans="1:9" x14ac:dyDescent="0.25">
      <c r="A121" s="92" t="s">
        <v>296</v>
      </c>
      <c r="B121" s="293">
        <v>1963199</v>
      </c>
      <c r="C121" s="293">
        <v>2520345</v>
      </c>
      <c r="D121" s="293">
        <v>2208926</v>
      </c>
      <c r="E121" s="293">
        <v>3479051</v>
      </c>
      <c r="F121" s="293">
        <v>4079082</v>
      </c>
      <c r="G121" s="293">
        <v>2617907</v>
      </c>
      <c r="H121" s="293">
        <v>3387458</v>
      </c>
      <c r="I121" s="255"/>
    </row>
    <row r="122" spans="1:9" x14ac:dyDescent="0.25">
      <c r="A122" s="8" t="s">
        <v>297</v>
      </c>
      <c r="B122" s="23"/>
      <c r="C122" s="23"/>
      <c r="D122" s="23"/>
      <c r="E122" s="23"/>
    </row>
    <row r="123" spans="1:9" x14ac:dyDescent="0.25">
      <c r="A123" s="52" t="s">
        <v>303</v>
      </c>
      <c r="B123" s="178">
        <v>15879</v>
      </c>
      <c r="C123" s="178">
        <v>11731</v>
      </c>
      <c r="D123" s="178">
        <v>39957</v>
      </c>
      <c r="E123" s="178">
        <v>50192</v>
      </c>
      <c r="F123" s="178">
        <v>29785</v>
      </c>
      <c r="G123" s="178">
        <v>47800</v>
      </c>
      <c r="H123" s="178">
        <v>36554</v>
      </c>
      <c r="I123" s="255"/>
    </row>
    <row r="124" spans="1:9" x14ac:dyDescent="0.25">
      <c r="A124" s="52" t="s">
        <v>298</v>
      </c>
      <c r="B124" s="23">
        <v>-1440255</v>
      </c>
      <c r="C124" s="23">
        <v>-1518088</v>
      </c>
      <c r="D124" s="23">
        <v>-2302270</v>
      </c>
      <c r="E124" s="23">
        <v>-3302471</v>
      </c>
      <c r="F124" s="23">
        <v>-3933673</v>
      </c>
      <c r="G124" s="23">
        <v>-3464578</v>
      </c>
      <c r="H124" s="23">
        <v>-3973510</v>
      </c>
      <c r="I124" s="255"/>
    </row>
    <row r="125" spans="1:9" x14ac:dyDescent="0.25">
      <c r="A125" s="52" t="s">
        <v>520</v>
      </c>
      <c r="B125" s="365">
        <v>0</v>
      </c>
      <c r="C125" s="365">
        <v>0</v>
      </c>
      <c r="D125" s="178">
        <v>1493</v>
      </c>
      <c r="E125" s="178">
        <v>102506</v>
      </c>
      <c r="F125" s="365">
        <v>0</v>
      </c>
      <c r="G125" s="365">
        <v>0</v>
      </c>
      <c r="H125" s="178">
        <v>21732</v>
      </c>
      <c r="I125" s="255"/>
    </row>
    <row r="126" spans="1:9" x14ac:dyDescent="0.25">
      <c r="A126" s="52" t="s">
        <v>459</v>
      </c>
      <c r="B126" s="178">
        <v>91287</v>
      </c>
      <c r="C126" s="178">
        <v>56189</v>
      </c>
      <c r="D126" s="178">
        <v>112811</v>
      </c>
      <c r="E126" s="178">
        <v>22011</v>
      </c>
      <c r="F126" s="178">
        <v>4237</v>
      </c>
      <c r="G126" s="178">
        <v>38264</v>
      </c>
      <c r="H126" s="178">
        <v>3077</v>
      </c>
      <c r="I126" s="255"/>
    </row>
    <row r="127" spans="1:9" x14ac:dyDescent="0.25">
      <c r="A127" s="307" t="s">
        <v>460</v>
      </c>
      <c r="B127" s="365">
        <v>0</v>
      </c>
      <c r="C127" s="365">
        <v>0</v>
      </c>
      <c r="D127" s="365">
        <v>0</v>
      </c>
      <c r="E127" s="365">
        <v>0</v>
      </c>
      <c r="F127" s="23">
        <v>-232500</v>
      </c>
      <c r="G127" s="365">
        <v>0</v>
      </c>
      <c r="H127" s="365">
        <v>0</v>
      </c>
      <c r="I127" s="255"/>
    </row>
    <row r="128" spans="1:9" x14ac:dyDescent="0.25">
      <c r="A128" s="52" t="s">
        <v>461</v>
      </c>
      <c r="B128" s="23">
        <v>-34777</v>
      </c>
      <c r="C128" s="23">
        <v>-69570</v>
      </c>
      <c r="D128" s="23">
        <v>-147989</v>
      </c>
      <c r="E128" s="23">
        <v>-10463</v>
      </c>
      <c r="F128" s="23">
        <v>-4920</v>
      </c>
      <c r="G128" s="23">
        <v>-6684</v>
      </c>
      <c r="H128" s="23">
        <v>-29067</v>
      </c>
      <c r="I128" s="255"/>
    </row>
    <row r="129" spans="1:9" x14ac:dyDescent="0.25">
      <c r="A129" s="52" t="s">
        <v>521</v>
      </c>
      <c r="B129" s="366">
        <v>0</v>
      </c>
      <c r="C129" s="23">
        <v>-1000</v>
      </c>
      <c r="D129" s="23">
        <v>-23000</v>
      </c>
      <c r="E129" s="23">
        <v>-32576</v>
      </c>
      <c r="F129" s="365">
        <v>0</v>
      </c>
      <c r="G129" s="365">
        <v>0</v>
      </c>
      <c r="H129" s="365">
        <v>0</v>
      </c>
      <c r="I129" s="255"/>
    </row>
    <row r="130" spans="1:9" x14ac:dyDescent="0.25">
      <c r="A130" s="52" t="s">
        <v>463</v>
      </c>
      <c r="B130" s="366">
        <v>0</v>
      </c>
      <c r="C130" s="23">
        <v>23</v>
      </c>
      <c r="D130" s="23">
        <v>-3379615</v>
      </c>
      <c r="E130" s="23">
        <v>-5613</v>
      </c>
      <c r="F130" s="365">
        <v>0</v>
      </c>
      <c r="G130" s="365">
        <v>0</v>
      </c>
      <c r="H130" s="365">
        <v>0</v>
      </c>
      <c r="I130" s="255"/>
    </row>
    <row r="131" spans="1:9" x14ac:dyDescent="0.25">
      <c r="A131" s="52" t="s">
        <v>464</v>
      </c>
      <c r="B131" s="178">
        <v>5256</v>
      </c>
      <c r="C131" s="178">
        <v>4349</v>
      </c>
      <c r="D131" s="178">
        <v>8173</v>
      </c>
      <c r="E131" s="178">
        <v>8349</v>
      </c>
      <c r="F131" s="178">
        <v>18323</v>
      </c>
      <c r="G131" s="178">
        <v>3931</v>
      </c>
      <c r="H131" s="178">
        <v>4684</v>
      </c>
      <c r="I131" s="255"/>
    </row>
    <row r="132" spans="1:9" x14ac:dyDescent="0.25">
      <c r="A132" s="52" t="s">
        <v>465</v>
      </c>
      <c r="B132" s="178">
        <v>1594</v>
      </c>
      <c r="C132" s="178">
        <v>1377</v>
      </c>
      <c r="D132" s="178">
        <v>666</v>
      </c>
      <c r="E132" s="178">
        <v>136</v>
      </c>
      <c r="F132" s="178">
        <v>40</v>
      </c>
      <c r="G132" s="178">
        <v>1068</v>
      </c>
      <c r="H132" s="178">
        <v>6008</v>
      </c>
      <c r="I132" s="255"/>
    </row>
    <row r="133" spans="1:9" x14ac:dyDescent="0.25">
      <c r="A133" s="52" t="s">
        <v>304</v>
      </c>
      <c r="B133" s="178">
        <v>4000</v>
      </c>
      <c r="C133" s="178">
        <v>1475</v>
      </c>
      <c r="D133" s="178">
        <v>240</v>
      </c>
      <c r="E133" s="178">
        <v>24500</v>
      </c>
      <c r="F133" s="178">
        <v>46800</v>
      </c>
      <c r="G133" s="178">
        <v>11700</v>
      </c>
      <c r="H133" s="178">
        <v>14500</v>
      </c>
      <c r="I133" s="255"/>
    </row>
    <row r="134" spans="1:9" x14ac:dyDescent="0.25">
      <c r="A134" s="52" t="s">
        <v>301</v>
      </c>
      <c r="B134" s="23">
        <v>-1295</v>
      </c>
      <c r="C134" s="23">
        <v>-1400</v>
      </c>
      <c r="D134" s="365">
        <v>0</v>
      </c>
      <c r="E134" s="23">
        <v>-139500</v>
      </c>
      <c r="F134" s="23">
        <v>-108800</v>
      </c>
      <c r="G134" s="23">
        <v>-18050</v>
      </c>
      <c r="H134" s="23">
        <v>-26100</v>
      </c>
      <c r="I134" s="255"/>
    </row>
    <row r="135" spans="1:9" x14ac:dyDescent="0.25">
      <c r="A135" s="52" t="s">
        <v>134</v>
      </c>
      <c r="B135" s="178">
        <v>4287</v>
      </c>
      <c r="C135" s="178">
        <v>6438</v>
      </c>
      <c r="D135" s="365">
        <v>0</v>
      </c>
      <c r="E135" s="304">
        <v>0</v>
      </c>
      <c r="F135" s="178">
        <v>220</v>
      </c>
      <c r="G135" s="23">
        <v>-184</v>
      </c>
      <c r="H135" s="367">
        <v>0</v>
      </c>
      <c r="I135" s="255"/>
    </row>
    <row r="136" spans="1:9" x14ac:dyDescent="0.25">
      <c r="A136" s="92" t="s">
        <v>307</v>
      </c>
      <c r="B136" s="287">
        <v>-1354024</v>
      </c>
      <c r="C136" s="287">
        <v>-1508476</v>
      </c>
      <c r="D136" s="287">
        <v>-5689534</v>
      </c>
      <c r="E136" s="287">
        <v>-3282929</v>
      </c>
      <c r="F136" s="287">
        <v>-4180488</v>
      </c>
      <c r="G136" s="287">
        <v>-3386733</v>
      </c>
      <c r="H136" s="287">
        <v>-3942122</v>
      </c>
      <c r="I136" s="255"/>
    </row>
    <row r="137" spans="1:9" x14ac:dyDescent="0.25">
      <c r="A137" s="8" t="s">
        <v>308</v>
      </c>
      <c r="B137" s="23"/>
      <c r="C137" s="23"/>
      <c r="D137" s="23"/>
      <c r="E137" s="23"/>
    </row>
    <row r="138" spans="1:9" x14ac:dyDescent="0.25">
      <c r="A138" s="52" t="s">
        <v>466</v>
      </c>
      <c r="B138" s="23">
        <v>-37272</v>
      </c>
      <c r="C138" s="23">
        <v>-35842</v>
      </c>
      <c r="D138" s="23">
        <v>-25603</v>
      </c>
      <c r="E138" s="23">
        <v>-14834</v>
      </c>
      <c r="F138" s="23">
        <v>-14911</v>
      </c>
      <c r="G138" s="23">
        <v>-20622</v>
      </c>
      <c r="H138" s="23">
        <v>-14426</v>
      </c>
      <c r="I138" s="255"/>
    </row>
    <row r="139" spans="1:9" x14ac:dyDescent="0.25">
      <c r="A139" s="52" t="s">
        <v>467</v>
      </c>
      <c r="B139" s="178">
        <v>208398</v>
      </c>
      <c r="C139" s="178">
        <v>167115</v>
      </c>
      <c r="D139" s="178">
        <v>87254</v>
      </c>
      <c r="E139" s="178">
        <v>1005000</v>
      </c>
      <c r="F139" s="178">
        <v>452325</v>
      </c>
      <c r="G139" s="365">
        <v>0</v>
      </c>
      <c r="H139" s="178">
        <v>295000</v>
      </c>
      <c r="I139" s="255"/>
    </row>
    <row r="140" spans="1:9" x14ac:dyDescent="0.25">
      <c r="A140" s="52" t="s">
        <v>311</v>
      </c>
      <c r="B140" s="23">
        <v>-415385</v>
      </c>
      <c r="C140" s="23">
        <v>-744020</v>
      </c>
      <c r="D140" s="23">
        <v>-467183</v>
      </c>
      <c r="E140" s="23">
        <v>-257210</v>
      </c>
      <c r="F140" s="23">
        <v>-141226</v>
      </c>
      <c r="G140" s="23">
        <v>-169971</v>
      </c>
      <c r="H140" s="23">
        <v>-140585</v>
      </c>
      <c r="I140" s="255"/>
    </row>
    <row r="141" spans="1:9" x14ac:dyDescent="0.25">
      <c r="A141" s="52" t="s">
        <v>315</v>
      </c>
      <c r="B141" s="178">
        <v>44000</v>
      </c>
      <c r="C141" s="178">
        <v>848200</v>
      </c>
      <c r="D141" s="178">
        <v>3300000</v>
      </c>
      <c r="E141" s="178">
        <v>150000</v>
      </c>
      <c r="F141" s="365">
        <v>0</v>
      </c>
      <c r="G141" s="178">
        <v>3653234</v>
      </c>
      <c r="H141" s="178">
        <v>310000</v>
      </c>
      <c r="I141" s="255"/>
    </row>
    <row r="142" spans="1:9" x14ac:dyDescent="0.25">
      <c r="A142" s="52" t="s">
        <v>309</v>
      </c>
      <c r="B142" s="23">
        <v>-166308</v>
      </c>
      <c r="C142" s="23">
        <v>-608692</v>
      </c>
      <c r="D142" s="365">
        <v>0</v>
      </c>
      <c r="E142" s="365">
        <v>0</v>
      </c>
      <c r="F142" s="365">
        <v>0</v>
      </c>
      <c r="G142" s="23">
        <v>-1148200</v>
      </c>
      <c r="H142" s="23">
        <v>-450000</v>
      </c>
      <c r="I142" s="255"/>
    </row>
    <row r="143" spans="1:9" x14ac:dyDescent="0.25">
      <c r="A143" s="52" t="s">
        <v>468</v>
      </c>
      <c r="B143" s="23">
        <v>-51167</v>
      </c>
      <c r="C143" s="366">
        <v>0</v>
      </c>
      <c r="D143" s="23">
        <v>-262882</v>
      </c>
      <c r="E143" s="23">
        <v>-543290</v>
      </c>
      <c r="F143" s="23">
        <v>-350510</v>
      </c>
      <c r="G143" s="23">
        <v>-332984</v>
      </c>
      <c r="H143" s="23">
        <v>-262882</v>
      </c>
      <c r="I143" s="255"/>
    </row>
    <row r="144" spans="1:9" x14ac:dyDescent="0.25">
      <c r="A144" s="52" t="s">
        <v>469</v>
      </c>
      <c r="B144" s="23">
        <v>-7074</v>
      </c>
      <c r="C144" s="23">
        <v>-5573</v>
      </c>
      <c r="D144" s="23">
        <v>-13676</v>
      </c>
      <c r="E144" s="23">
        <v>-16434</v>
      </c>
      <c r="F144" s="23">
        <v>-8047</v>
      </c>
      <c r="G144" s="23">
        <v>-1233</v>
      </c>
      <c r="H144" s="23">
        <v>-2630</v>
      </c>
      <c r="I144" s="255"/>
    </row>
    <row r="145" spans="1:9" x14ac:dyDescent="0.25">
      <c r="A145" s="52" t="s">
        <v>522</v>
      </c>
      <c r="B145" s="23">
        <v>-8376</v>
      </c>
      <c r="C145" s="365">
        <v>0</v>
      </c>
      <c r="D145" s="365">
        <v>0</v>
      </c>
      <c r="E145" s="365">
        <v>0</v>
      </c>
      <c r="F145" s="365">
        <v>0</v>
      </c>
      <c r="G145" s="365">
        <v>0</v>
      </c>
      <c r="H145" s="365">
        <v>0</v>
      </c>
      <c r="I145" s="255"/>
    </row>
    <row r="146" spans="1:9" x14ac:dyDescent="0.25">
      <c r="A146" s="52" t="s">
        <v>312</v>
      </c>
      <c r="B146" s="23">
        <v>-109333</v>
      </c>
      <c r="C146" s="23">
        <v>-115820</v>
      </c>
      <c r="D146" s="23">
        <v>-52292</v>
      </c>
      <c r="E146" s="23">
        <v>-222089</v>
      </c>
      <c r="F146" s="23">
        <v>-229431</v>
      </c>
      <c r="G146" s="23">
        <v>-273392</v>
      </c>
      <c r="H146" s="23">
        <v>-276305</v>
      </c>
      <c r="I146" s="255"/>
    </row>
    <row r="147" spans="1:9" x14ac:dyDescent="0.25">
      <c r="A147" s="52" t="s">
        <v>470</v>
      </c>
      <c r="B147" s="365">
        <v>0</v>
      </c>
      <c r="C147" s="23">
        <v>-9863</v>
      </c>
      <c r="D147" s="23">
        <v>-37800</v>
      </c>
      <c r="E147" s="23">
        <v>-6535</v>
      </c>
      <c r="F147" s="23">
        <v>-37021</v>
      </c>
      <c r="G147" s="23">
        <v>-125402</v>
      </c>
      <c r="H147" s="23">
        <v>-588</v>
      </c>
      <c r="I147" s="255"/>
    </row>
    <row r="148" spans="1:9" x14ac:dyDescent="0.25">
      <c r="A148" s="52" t="s">
        <v>134</v>
      </c>
      <c r="B148" s="23">
        <v>-947</v>
      </c>
      <c r="C148" s="23">
        <v>-8369</v>
      </c>
      <c r="D148" s="23">
        <f>-17779+4725</f>
        <v>-13054</v>
      </c>
      <c r="E148" s="178">
        <f>-10975+106083</f>
        <v>95108</v>
      </c>
      <c r="F148" s="178">
        <f>-9303+89024</f>
        <v>79721</v>
      </c>
      <c r="G148" s="178">
        <f>63139-8820</f>
        <v>54319</v>
      </c>
      <c r="H148" s="178">
        <v>16724</v>
      </c>
      <c r="I148" s="255"/>
    </row>
    <row r="149" spans="1:9" x14ac:dyDescent="0.25">
      <c r="A149" s="92" t="s">
        <v>317</v>
      </c>
      <c r="B149" s="287">
        <v>-543464</v>
      </c>
      <c r="C149" s="287">
        <v>-512864</v>
      </c>
      <c r="D149" s="293">
        <v>2514764</v>
      </c>
      <c r="E149" s="293">
        <v>189716</v>
      </c>
      <c r="F149" s="287">
        <v>-249100</v>
      </c>
      <c r="G149" s="293">
        <v>1635749</v>
      </c>
      <c r="H149" s="368">
        <v>-525692</v>
      </c>
      <c r="I149" s="255"/>
    </row>
    <row r="150" spans="1:9" x14ac:dyDescent="0.25">
      <c r="A150" s="8" t="s">
        <v>318</v>
      </c>
      <c r="B150" s="178">
        <v>65711</v>
      </c>
      <c r="C150" s="178">
        <v>499005</v>
      </c>
      <c r="D150" s="23">
        <v>-965844</v>
      </c>
      <c r="E150" s="178">
        <v>385838</v>
      </c>
      <c r="F150" s="23">
        <v>-350506</v>
      </c>
      <c r="G150" s="178">
        <v>866923</v>
      </c>
      <c r="H150" s="171">
        <v>-1080356</v>
      </c>
      <c r="I150" s="178"/>
    </row>
    <row r="151" spans="1:9" x14ac:dyDescent="0.25">
      <c r="A151" s="52" t="s">
        <v>319</v>
      </c>
      <c r="B151" s="178">
        <v>220</v>
      </c>
      <c r="C151" s="178">
        <v>-134</v>
      </c>
      <c r="D151" s="23">
        <v>-3</v>
      </c>
      <c r="E151" s="23">
        <v>-1375</v>
      </c>
      <c r="F151" s="23">
        <v>-1858</v>
      </c>
      <c r="G151" s="178">
        <v>-177</v>
      </c>
      <c r="H151" s="171">
        <v>1169</v>
      </c>
      <c r="I151" s="178"/>
    </row>
    <row r="152" spans="1:9" x14ac:dyDescent="0.25">
      <c r="A152" s="268" t="s">
        <v>320</v>
      </c>
      <c r="B152" s="178">
        <v>906944</v>
      </c>
      <c r="C152" s="178">
        <v>972655</v>
      </c>
      <c r="D152" s="178">
        <v>1471660</v>
      </c>
      <c r="E152" s="178">
        <v>505816</v>
      </c>
      <c r="F152" s="178">
        <v>891654</v>
      </c>
      <c r="G152" s="178">
        <v>541148</v>
      </c>
      <c r="H152" s="171">
        <v>1408071</v>
      </c>
      <c r="I152" s="255"/>
    </row>
    <row r="153" spans="1:9" x14ac:dyDescent="0.25">
      <c r="A153" s="268" t="s">
        <v>471</v>
      </c>
      <c r="B153" s="178">
        <v>972655</v>
      </c>
      <c r="C153" s="178">
        <v>1471660</v>
      </c>
      <c r="D153" s="178">
        <v>505816</v>
      </c>
      <c r="E153" s="178">
        <v>891654</v>
      </c>
      <c r="F153" s="178">
        <v>541148</v>
      </c>
      <c r="G153" s="178">
        <v>1408071</v>
      </c>
      <c r="H153" s="171">
        <v>327715</v>
      </c>
      <c r="I153" s="255"/>
    </row>
    <row r="154" spans="1:9" x14ac:dyDescent="0.25">
      <c r="A154" s="60" t="s">
        <v>322</v>
      </c>
      <c r="B154" s="263">
        <v>18635</v>
      </c>
      <c r="C154" s="263">
        <v>165862</v>
      </c>
      <c r="D154" s="263">
        <v>176241</v>
      </c>
      <c r="E154" s="263">
        <v>290063</v>
      </c>
      <c r="F154" s="263">
        <v>121129</v>
      </c>
      <c r="G154" s="263">
        <v>116568</v>
      </c>
      <c r="H154" s="263">
        <v>206254</v>
      </c>
      <c r="I154" s="255"/>
    </row>
    <row r="156" spans="1:9" x14ac:dyDescent="0.25">
      <c r="A156" s="309" t="s">
        <v>361</v>
      </c>
      <c r="B156" s="12" t="s">
        <v>473</v>
      </c>
    </row>
    <row r="157" spans="1:9" x14ac:dyDescent="0.25">
      <c r="A157" s="309" t="s">
        <v>420</v>
      </c>
      <c r="B157" s="12" t="s">
        <v>475</v>
      </c>
      <c r="C157" s="369"/>
      <c r="D157" s="370"/>
      <c r="E157" s="370"/>
      <c r="F157" s="370"/>
      <c r="G157" s="370"/>
      <c r="H157" s="370"/>
      <c r="I157" s="370"/>
    </row>
    <row r="158" spans="1:9" x14ac:dyDescent="0.25">
      <c r="A158" s="309" t="s">
        <v>476</v>
      </c>
      <c r="B158" s="12" t="s">
        <v>478</v>
      </c>
      <c r="D158" s="370"/>
      <c r="E158" s="370"/>
      <c r="F158" s="370"/>
      <c r="G158" s="370"/>
      <c r="H158" s="370"/>
      <c r="I158" s="370"/>
    </row>
    <row r="159" spans="1:9" x14ac:dyDescent="0.25">
      <c r="A159" s="309" t="s">
        <v>479</v>
      </c>
      <c r="B159" s="12" t="s">
        <v>480</v>
      </c>
      <c r="D159" s="370"/>
      <c r="E159" s="370"/>
      <c r="F159" s="370"/>
      <c r="G159" s="370"/>
      <c r="H159" s="370"/>
      <c r="I159" s="370"/>
    </row>
  </sheetData>
  <customSheetViews>
    <customSheetView guid="{627AEB6E-B9F1-415E-9A60-881757A50C67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  <customSheetView guid="{AAA495E0-27FD-4941-85B8-9038B6AD4FA3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  <customSheetView guid="{874BA5F8-BD95-4DDF-8F31-98DB154CA965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  <customSheetView guid="{77EFF5B1-32BE-4080-9902-B97F43099026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</customSheetViews>
  <mergeCells count="4">
    <mergeCell ref="B42:B43"/>
    <mergeCell ref="C42:C43"/>
    <mergeCell ref="B80:B81"/>
    <mergeCell ref="B90:B9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E44"/>
  <sheetViews>
    <sheetView tabSelected="1" workbookViewId="0">
      <selection activeCell="F45" sqref="F45"/>
    </sheetView>
  </sheetViews>
  <sheetFormatPr defaultRowHeight="15" x14ac:dyDescent="0.25"/>
  <cols>
    <col min="1" max="1" width="36.140625" style="12" customWidth="1"/>
    <col min="2" max="2" width="17.5703125" style="12" bestFit="1" customWidth="1"/>
    <col min="3" max="3" width="22.85546875" style="12" customWidth="1"/>
    <col min="4" max="4" width="15.7109375" style="12" customWidth="1"/>
    <col min="5" max="16384" width="9.140625" style="12"/>
  </cols>
  <sheetData>
    <row r="1" spans="1:5" ht="45" customHeight="1" x14ac:dyDescent="0.25">
      <c r="A1" s="44" t="s">
        <v>41</v>
      </c>
      <c r="B1" s="45"/>
      <c r="C1" s="46"/>
      <c r="D1" s="97"/>
      <c r="E1" s="7"/>
    </row>
    <row r="2" spans="1:5" ht="30" x14ac:dyDescent="0.25">
      <c r="A2" s="47" t="s">
        <v>42</v>
      </c>
      <c r="B2" s="48" t="s">
        <v>43</v>
      </c>
      <c r="C2" s="47" t="s">
        <v>44</v>
      </c>
      <c r="D2" s="47" t="s">
        <v>45</v>
      </c>
    </row>
    <row r="3" spans="1:5" x14ac:dyDescent="0.25">
      <c r="A3" s="49" t="s">
        <v>46</v>
      </c>
      <c r="B3" s="49" t="s">
        <v>47</v>
      </c>
      <c r="C3" s="50">
        <f>C4+C5+C6</f>
        <v>1535</v>
      </c>
      <c r="D3" s="51">
        <f>321+50.6</f>
        <v>371.6</v>
      </c>
    </row>
    <row r="4" spans="1:5" x14ac:dyDescent="0.25">
      <c r="A4" s="52" t="s">
        <v>48</v>
      </c>
      <c r="B4" s="8"/>
      <c r="C4" s="53">
        <v>140</v>
      </c>
      <c r="D4" s="54"/>
    </row>
    <row r="5" spans="1:5" x14ac:dyDescent="0.25">
      <c r="A5" s="52" t="s">
        <v>49</v>
      </c>
      <c r="B5" s="8"/>
      <c r="C5" s="55">
        <v>1345</v>
      </c>
      <c r="D5" s="54"/>
    </row>
    <row r="6" spans="1:5" x14ac:dyDescent="0.25">
      <c r="A6" s="56" t="s">
        <v>50</v>
      </c>
      <c r="B6" s="57"/>
      <c r="C6" s="55">
        <v>50</v>
      </c>
      <c r="D6" s="54"/>
    </row>
    <row r="7" spans="1:5" x14ac:dyDescent="0.25">
      <c r="A7" s="49" t="s">
        <v>51</v>
      </c>
      <c r="B7" s="49" t="s">
        <v>47</v>
      </c>
      <c r="C7" s="50">
        <f>C8+C9</f>
        <v>1155</v>
      </c>
      <c r="D7" s="51">
        <v>196</v>
      </c>
    </row>
    <row r="8" spans="1:5" x14ac:dyDescent="0.25">
      <c r="A8" s="52" t="s">
        <v>52</v>
      </c>
      <c r="B8" s="8"/>
      <c r="C8" s="58">
        <v>250</v>
      </c>
      <c r="D8" s="59"/>
    </row>
    <row r="9" spans="1:5" x14ac:dyDescent="0.25">
      <c r="A9" s="60" t="s">
        <v>53</v>
      </c>
      <c r="B9" s="25"/>
      <c r="C9" s="25">
        <v>905</v>
      </c>
      <c r="D9" s="61"/>
    </row>
    <row r="10" spans="1:5" x14ac:dyDescent="0.25">
      <c r="A10" s="49" t="s">
        <v>54</v>
      </c>
      <c r="B10" s="49" t="s">
        <v>47</v>
      </c>
      <c r="C10" s="62">
        <f>C11+C12</f>
        <v>820</v>
      </c>
      <c r="D10" s="63">
        <v>279</v>
      </c>
    </row>
    <row r="11" spans="1:5" x14ac:dyDescent="0.25">
      <c r="A11" s="52" t="s">
        <v>55</v>
      </c>
      <c r="B11" s="8"/>
      <c r="C11" s="53">
        <v>360</v>
      </c>
      <c r="D11" s="54"/>
    </row>
    <row r="12" spans="1:5" x14ac:dyDescent="0.25">
      <c r="A12" s="52" t="s">
        <v>56</v>
      </c>
      <c r="B12" s="8"/>
      <c r="C12" s="53">
        <v>460</v>
      </c>
      <c r="D12" s="54"/>
    </row>
    <row r="13" spans="1:5" x14ac:dyDescent="0.25">
      <c r="A13" s="64" t="s">
        <v>57</v>
      </c>
      <c r="B13" s="64" t="s">
        <v>47</v>
      </c>
      <c r="C13" s="50">
        <f>C14+C15</f>
        <v>666</v>
      </c>
      <c r="D13" s="51">
        <v>36.5</v>
      </c>
    </row>
    <row r="14" spans="1:5" x14ac:dyDescent="0.25">
      <c r="A14" s="65" t="s">
        <v>58</v>
      </c>
      <c r="B14" s="20"/>
      <c r="C14" s="58">
        <v>306</v>
      </c>
      <c r="D14" s="59"/>
    </row>
    <row r="15" spans="1:5" x14ac:dyDescent="0.25">
      <c r="A15" s="60" t="s">
        <v>59</v>
      </c>
      <c r="B15" s="25"/>
      <c r="C15" s="66">
        <v>360</v>
      </c>
      <c r="D15" s="61"/>
    </row>
    <row r="16" spans="1:5" x14ac:dyDescent="0.25">
      <c r="A16" s="67" t="s">
        <v>60</v>
      </c>
      <c r="B16" s="67" t="s">
        <v>47</v>
      </c>
      <c r="C16" s="68">
        <f>C17</f>
        <v>165</v>
      </c>
      <c r="D16" s="69">
        <v>85</v>
      </c>
      <c r="E16" s="12" t="s">
        <v>61</v>
      </c>
    </row>
    <row r="17" spans="1:5" x14ac:dyDescent="0.25">
      <c r="A17" s="70" t="s">
        <v>62</v>
      </c>
      <c r="B17" s="71"/>
      <c r="C17" s="71">
        <v>165</v>
      </c>
      <c r="D17" s="72"/>
    </row>
    <row r="18" spans="1:5" x14ac:dyDescent="0.25">
      <c r="A18" s="49" t="s">
        <v>63</v>
      </c>
      <c r="B18" s="49" t="s">
        <v>47</v>
      </c>
      <c r="C18" s="62">
        <f>C19+C20+C21</f>
        <v>330</v>
      </c>
      <c r="D18" s="63">
        <v>335</v>
      </c>
    </row>
    <row r="19" spans="1:5" ht="15.75" x14ac:dyDescent="0.25">
      <c r="A19" s="52" t="s">
        <v>64</v>
      </c>
      <c r="B19" s="8"/>
      <c r="C19" s="53">
        <v>240</v>
      </c>
      <c r="D19" s="73"/>
    </row>
    <row r="20" spans="1:5" x14ac:dyDescent="0.25">
      <c r="A20" s="65" t="s">
        <v>62</v>
      </c>
      <c r="B20" s="20"/>
      <c r="C20" s="53">
        <v>60</v>
      </c>
      <c r="D20" s="74"/>
    </row>
    <row r="21" spans="1:5" ht="15.75" x14ac:dyDescent="0.25">
      <c r="A21" s="75" t="s">
        <v>50</v>
      </c>
      <c r="B21" s="8"/>
      <c r="C21" s="53">
        <v>30</v>
      </c>
      <c r="D21" s="73"/>
    </row>
    <row r="22" spans="1:5" ht="15.75" x14ac:dyDescent="0.25">
      <c r="A22" s="76" t="s">
        <v>65</v>
      </c>
      <c r="B22" s="77"/>
      <c r="C22" s="78">
        <f>C3+C7+C10+C13+C18</f>
        <v>4506</v>
      </c>
      <c r="D22" s="78">
        <f>D3+D7+D10+D13+D18</f>
        <v>1218.0999999999999</v>
      </c>
    </row>
    <row r="23" spans="1:5" x14ac:dyDescent="0.25">
      <c r="A23" s="79"/>
      <c r="B23" s="79"/>
      <c r="C23" s="80"/>
      <c r="D23" s="81"/>
    </row>
    <row r="24" spans="1:5" x14ac:dyDescent="0.25">
      <c r="A24" s="82" t="s">
        <v>66</v>
      </c>
      <c r="B24" s="82" t="s">
        <v>67</v>
      </c>
      <c r="C24" s="83">
        <v>40</v>
      </c>
      <c r="D24" s="83">
        <v>250</v>
      </c>
    </row>
    <row r="25" spans="1:5" x14ac:dyDescent="0.25">
      <c r="A25" s="82" t="s">
        <v>547</v>
      </c>
      <c r="B25" s="82" t="s">
        <v>67</v>
      </c>
      <c r="C25" s="83">
        <v>66</v>
      </c>
      <c r="D25" s="83">
        <v>86</v>
      </c>
    </row>
    <row r="26" spans="1:5" x14ac:dyDescent="0.25">
      <c r="A26" s="84" t="s">
        <v>68</v>
      </c>
      <c r="B26" s="84" t="s">
        <v>67</v>
      </c>
      <c r="C26" s="85">
        <v>125</v>
      </c>
      <c r="D26" s="85">
        <v>466</v>
      </c>
      <c r="E26" s="12" t="s">
        <v>61</v>
      </c>
    </row>
    <row r="27" spans="1:5" x14ac:dyDescent="0.25">
      <c r="A27" s="86" t="s">
        <v>69</v>
      </c>
      <c r="B27" s="86" t="s">
        <v>67</v>
      </c>
      <c r="C27" s="83">
        <v>135.5</v>
      </c>
      <c r="D27" s="83">
        <v>294</v>
      </c>
    </row>
    <row r="28" spans="1:5" x14ac:dyDescent="0.25">
      <c r="A28" s="86" t="s">
        <v>70</v>
      </c>
      <c r="B28" s="86" t="s">
        <v>67</v>
      </c>
      <c r="C28" s="83">
        <f>C29+C30</f>
        <v>105.8</v>
      </c>
      <c r="D28" s="83">
        <f>D29+D30</f>
        <v>383.8</v>
      </c>
    </row>
    <row r="29" spans="1:5" x14ac:dyDescent="0.25">
      <c r="A29" s="52" t="s">
        <v>71</v>
      </c>
      <c r="B29" s="8"/>
      <c r="C29" s="87">
        <v>50.8</v>
      </c>
      <c r="D29" s="87">
        <v>182.4</v>
      </c>
    </row>
    <row r="30" spans="1:5" x14ac:dyDescent="0.25">
      <c r="A30" s="52" t="s">
        <v>72</v>
      </c>
      <c r="B30" s="8"/>
      <c r="C30" s="58">
        <v>55</v>
      </c>
      <c r="D30" s="88">
        <v>201.4</v>
      </c>
    </row>
    <row r="31" spans="1:5" x14ac:dyDescent="0.25">
      <c r="A31" s="64" t="s">
        <v>73</v>
      </c>
      <c r="B31" s="64"/>
      <c r="C31" s="89" t="s">
        <v>74</v>
      </c>
      <c r="D31" s="89">
        <f>189.1-33.3</f>
        <v>155.80000000000001</v>
      </c>
    </row>
    <row r="32" spans="1:5" ht="15.75" x14ac:dyDescent="0.25">
      <c r="A32" s="76" t="s">
        <v>75</v>
      </c>
      <c r="B32" s="77"/>
      <c r="C32" s="78">
        <f>SUM(C24:C28)-C26</f>
        <v>347.3</v>
      </c>
      <c r="D32" s="78">
        <f>SUM(D24:D28)-D26+D31</f>
        <v>1169.5999999999999</v>
      </c>
    </row>
    <row r="33" spans="1:4" x14ac:dyDescent="0.25">
      <c r="A33" s="90"/>
      <c r="B33" s="90"/>
      <c r="C33" s="62"/>
      <c r="D33" s="91"/>
    </row>
    <row r="34" spans="1:4" x14ac:dyDescent="0.25">
      <c r="A34" s="92" t="s">
        <v>76</v>
      </c>
      <c r="B34" s="92"/>
      <c r="C34" s="83">
        <v>142.851</v>
      </c>
      <c r="D34" s="93" t="s">
        <v>74</v>
      </c>
    </row>
    <row r="35" spans="1:4" x14ac:dyDescent="0.25">
      <c r="A35" s="86" t="s">
        <v>77</v>
      </c>
      <c r="B35" s="86"/>
      <c r="C35" s="83">
        <f>SUM(C36:C39)</f>
        <v>200.75</v>
      </c>
      <c r="D35" s="93" t="s">
        <v>74</v>
      </c>
    </row>
    <row r="36" spans="1:4" x14ac:dyDescent="0.25">
      <c r="A36" s="65" t="s">
        <v>78</v>
      </c>
      <c r="B36" s="20"/>
      <c r="C36" s="58">
        <v>30</v>
      </c>
      <c r="D36" s="58" t="s">
        <v>74</v>
      </c>
    </row>
    <row r="37" spans="1:4" x14ac:dyDescent="0.25">
      <c r="A37" s="65" t="s">
        <v>79</v>
      </c>
      <c r="B37" s="20"/>
      <c r="C37" s="88">
        <v>30.75</v>
      </c>
      <c r="D37" s="58" t="s">
        <v>74</v>
      </c>
    </row>
    <row r="38" spans="1:4" x14ac:dyDescent="0.25">
      <c r="A38" s="65" t="s">
        <v>80</v>
      </c>
      <c r="B38" s="20"/>
      <c r="C38" s="58">
        <v>100</v>
      </c>
      <c r="D38" s="58" t="s">
        <v>74</v>
      </c>
    </row>
    <row r="39" spans="1:4" x14ac:dyDescent="0.25">
      <c r="A39" s="65" t="s">
        <v>81</v>
      </c>
      <c r="B39" s="20"/>
      <c r="C39" s="58">
        <v>40</v>
      </c>
      <c r="D39" s="58" t="s">
        <v>74</v>
      </c>
    </row>
    <row r="40" spans="1:4" ht="15.75" x14ac:dyDescent="0.25">
      <c r="A40" s="76" t="s">
        <v>82</v>
      </c>
      <c r="B40" s="77"/>
      <c r="C40" s="78">
        <f>C34+C35</f>
        <v>343.601</v>
      </c>
      <c r="D40" s="94"/>
    </row>
    <row r="41" spans="1:4" ht="15.75" x14ac:dyDescent="0.25">
      <c r="A41" s="95"/>
      <c r="B41" s="95"/>
      <c r="C41" s="7"/>
      <c r="D41" s="7"/>
    </row>
    <row r="42" spans="1:4" ht="15.75" x14ac:dyDescent="0.25">
      <c r="A42" s="96" t="s">
        <v>83</v>
      </c>
      <c r="B42" s="95"/>
      <c r="C42" s="7"/>
      <c r="D42" s="7"/>
    </row>
    <row r="43" spans="1:4" ht="15.75" x14ac:dyDescent="0.25">
      <c r="A43" s="96"/>
      <c r="B43" s="95"/>
      <c r="C43" s="7"/>
      <c r="D43" s="7"/>
    </row>
    <row r="44" spans="1:4" ht="15.75" x14ac:dyDescent="0.25">
      <c r="A44" s="76" t="s">
        <v>84</v>
      </c>
      <c r="B44" s="77"/>
      <c r="C44" s="78">
        <f>C22+C32+C40</f>
        <v>5196.9009999999998</v>
      </c>
      <c r="D44" s="78">
        <f>D22+D32+D40</f>
        <v>2387.6999999999998</v>
      </c>
    </row>
  </sheetData>
  <customSheetViews>
    <customSheetView guid="{627AEB6E-B9F1-415E-9A60-881757A50C67}">
      <selection activeCell="C3" sqref="C3"/>
      <pageMargins left="0.7" right="0.7" top="0.75" bottom="0.75" header="0.3" footer="0.3"/>
    </customSheetView>
    <customSheetView guid="{AAA495E0-27FD-4941-85B8-9038B6AD4FA3}">
      <selection activeCell="F4" sqref="F4"/>
      <pageMargins left="0.7" right="0.7" top="0.75" bottom="0.75" header="0.3" footer="0.3"/>
    </customSheetView>
    <customSheetView guid="{874BA5F8-BD95-4DDF-8F31-98DB154CA965}">
      <selection activeCell="F4" sqref="F4"/>
      <pageMargins left="0.7" right="0.7" top="0.75" bottom="0.75" header="0.3" footer="0.3"/>
    </customSheetView>
    <customSheetView guid="{77EFF5B1-32BE-4080-9902-B97F43099026}">
      <selection activeCell="C3" sqref="C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BO46"/>
  <sheetViews>
    <sheetView workbookViewId="0">
      <selection activeCell="C19" sqref="C19"/>
    </sheetView>
  </sheetViews>
  <sheetFormatPr defaultRowHeight="15" x14ac:dyDescent="0.25"/>
  <cols>
    <col min="1" max="1" width="28.140625" style="12" bestFit="1" customWidth="1"/>
    <col min="2" max="2" width="3.7109375" style="12" customWidth="1"/>
    <col min="3" max="6" width="24.7109375" style="12" customWidth="1"/>
    <col min="7" max="7" width="3.7109375" style="12" customWidth="1"/>
    <col min="8" max="11" width="24.7109375" style="12" customWidth="1"/>
    <col min="12" max="12" width="9.140625" style="12"/>
    <col min="13" max="13" width="22.28515625" style="12" customWidth="1"/>
    <col min="14" max="14" width="17.7109375" style="12" customWidth="1"/>
    <col min="15" max="15" width="17" style="12" customWidth="1"/>
    <col min="16" max="16" width="24" style="12" customWidth="1"/>
    <col min="17" max="17" width="9.140625" style="12"/>
    <col min="18" max="18" width="22.5703125" style="12" customWidth="1"/>
    <col min="19" max="19" width="9.7109375" style="12" bestFit="1" customWidth="1"/>
    <col min="20" max="20" width="10.28515625" style="12" bestFit="1" customWidth="1"/>
    <col min="21" max="21" width="23.7109375" style="12" customWidth="1"/>
    <col min="22" max="22" width="9.140625" style="12"/>
    <col min="23" max="23" width="24.28515625" style="12" customWidth="1"/>
    <col min="24" max="24" width="19.7109375" style="12" customWidth="1"/>
    <col min="25" max="25" width="20.140625" style="12" customWidth="1"/>
    <col min="26" max="26" width="24.140625" style="12" customWidth="1"/>
    <col min="27" max="27" width="9.140625" style="12"/>
    <col min="28" max="28" width="23" style="12" customWidth="1"/>
    <col min="29" max="29" width="15.85546875" style="12" customWidth="1"/>
    <col min="30" max="30" width="14.5703125" style="12" customWidth="1"/>
    <col min="31" max="31" width="23.7109375" style="12" customWidth="1"/>
    <col min="32" max="32" width="9.140625" style="12"/>
    <col min="33" max="33" width="28.28515625" style="12" customWidth="1"/>
    <col min="34" max="35" width="19.85546875" style="12" customWidth="1"/>
    <col min="36" max="36" width="24.85546875" style="12" customWidth="1"/>
    <col min="37" max="37" width="9.140625" style="12"/>
    <col min="38" max="38" width="23.140625" style="12" customWidth="1"/>
    <col min="39" max="39" width="19.140625" style="12" customWidth="1"/>
    <col min="40" max="40" width="19" style="12" customWidth="1"/>
    <col min="41" max="41" width="24.28515625" style="12" customWidth="1"/>
    <col min="42" max="42" width="9.140625" style="12"/>
    <col min="43" max="43" width="24" style="12" customWidth="1"/>
    <col min="44" max="45" width="19" style="12" customWidth="1"/>
    <col min="46" max="46" width="25.5703125" style="12" customWidth="1"/>
    <col min="47" max="47" width="9.140625" style="12"/>
    <col min="48" max="48" width="25.28515625" style="12" customWidth="1"/>
    <col min="49" max="49" width="17.42578125" style="12" customWidth="1"/>
    <col min="50" max="50" width="19.140625" style="12" customWidth="1"/>
    <col min="51" max="51" width="22.28515625" style="12" customWidth="1"/>
    <col min="52" max="52" width="9.140625" style="12"/>
    <col min="53" max="53" width="28.140625" style="12" bestFit="1" customWidth="1"/>
    <col min="54" max="54" width="22.85546875" style="12" customWidth="1"/>
    <col min="55" max="56" width="9.7109375" style="12" bestFit="1" customWidth="1"/>
    <col min="57" max="57" width="21.42578125" style="12" customWidth="1"/>
    <col min="58" max="58" width="9.140625" style="12"/>
    <col min="59" max="59" width="21.5703125" style="12" customWidth="1"/>
    <col min="60" max="60" width="15.140625" style="12" customWidth="1"/>
    <col min="61" max="61" width="13.7109375" style="12" customWidth="1"/>
    <col min="62" max="62" width="23.42578125" style="12" customWidth="1"/>
    <col min="63" max="63" width="9.140625" style="12"/>
    <col min="64" max="64" width="21.5703125" style="12" customWidth="1"/>
    <col min="65" max="65" width="13.28515625" style="12" customWidth="1"/>
    <col min="66" max="66" width="14.7109375" style="12" customWidth="1"/>
    <col min="67" max="67" width="21.42578125" style="12" customWidth="1"/>
    <col min="68" max="16384" width="9.140625" style="12"/>
  </cols>
  <sheetData>
    <row r="1" spans="1:67" ht="20.25" x14ac:dyDescent="0.25">
      <c r="A1" s="1" t="s">
        <v>85</v>
      </c>
      <c r="B1" s="13"/>
      <c r="C1" s="98"/>
      <c r="D1" s="98"/>
      <c r="E1" s="98"/>
      <c r="F1" s="98"/>
      <c r="G1" s="13"/>
      <c r="H1" s="1"/>
      <c r="I1" s="1"/>
      <c r="J1" s="1"/>
      <c r="K1" s="1"/>
      <c r="L1" s="13"/>
      <c r="M1" s="1"/>
      <c r="N1" s="1"/>
      <c r="O1" s="1"/>
      <c r="P1" s="1"/>
      <c r="Q1" s="13"/>
      <c r="R1" s="1"/>
      <c r="S1" s="1"/>
      <c r="T1" s="1"/>
      <c r="U1" s="1"/>
      <c r="V1" s="98"/>
      <c r="W1" s="1"/>
      <c r="X1" s="1"/>
      <c r="Y1" s="1"/>
      <c r="Z1" s="1"/>
      <c r="AA1" s="98"/>
      <c r="AB1" s="1"/>
      <c r="AC1" s="1"/>
      <c r="AD1" s="1"/>
      <c r="AE1" s="1"/>
      <c r="AG1" s="1"/>
      <c r="AH1" s="1"/>
      <c r="AI1" s="1"/>
      <c r="AJ1" s="1"/>
      <c r="AL1" s="1"/>
      <c r="AM1" s="1"/>
      <c r="AN1" s="1"/>
      <c r="AO1" s="1"/>
      <c r="AP1" s="13"/>
      <c r="AQ1" s="1"/>
      <c r="AR1" s="1"/>
      <c r="AS1" s="1"/>
      <c r="AT1" s="1"/>
      <c r="AU1" s="13"/>
      <c r="AV1" s="1"/>
      <c r="AW1" s="1"/>
      <c r="AX1" s="1"/>
      <c r="AY1" s="1"/>
      <c r="AZ1" s="13"/>
      <c r="BA1" s="1" t="s">
        <v>85</v>
      </c>
      <c r="BB1" s="6"/>
      <c r="BC1" s="6"/>
      <c r="BD1" s="6"/>
      <c r="BE1" s="6"/>
      <c r="BF1" s="13"/>
      <c r="BG1" s="6"/>
      <c r="BH1" s="6"/>
      <c r="BI1" s="6"/>
      <c r="BJ1" s="6"/>
      <c r="BK1" s="13"/>
      <c r="BL1" s="6"/>
      <c r="BM1" s="6"/>
      <c r="BN1" s="6"/>
      <c r="BO1" s="6"/>
    </row>
    <row r="2" spans="1:67" ht="38.25" x14ac:dyDescent="0.25">
      <c r="A2" s="99" t="s">
        <v>86</v>
      </c>
      <c r="B2" s="13"/>
      <c r="C2" s="100" t="s">
        <v>539</v>
      </c>
      <c r="D2" s="100" t="s">
        <v>540</v>
      </c>
      <c r="E2" s="100" t="s">
        <v>541</v>
      </c>
      <c r="F2" s="100" t="s">
        <v>542</v>
      </c>
      <c r="G2" s="13"/>
      <c r="H2" s="100" t="s">
        <v>543</v>
      </c>
      <c r="I2" s="100" t="s">
        <v>544</v>
      </c>
      <c r="J2" s="100" t="s">
        <v>545</v>
      </c>
      <c r="K2" s="100" t="s">
        <v>542</v>
      </c>
      <c r="L2" s="13"/>
      <c r="M2" s="100" t="s">
        <v>87</v>
      </c>
      <c r="N2" s="100" t="s">
        <v>88</v>
      </c>
      <c r="O2" s="100" t="s">
        <v>89</v>
      </c>
      <c r="P2" s="100" t="s">
        <v>90</v>
      </c>
      <c r="Q2" s="13"/>
      <c r="R2" s="101" t="s">
        <v>91</v>
      </c>
      <c r="S2" s="101" t="s">
        <v>92</v>
      </c>
      <c r="T2" s="101" t="s">
        <v>93</v>
      </c>
      <c r="U2" s="101" t="s">
        <v>94</v>
      </c>
      <c r="V2" s="34"/>
      <c r="W2" s="101" t="s">
        <v>95</v>
      </c>
      <c r="X2" s="101" t="s">
        <v>96</v>
      </c>
      <c r="Y2" s="101" t="s">
        <v>97</v>
      </c>
      <c r="Z2" s="101" t="s">
        <v>94</v>
      </c>
      <c r="AA2" s="102"/>
      <c r="AB2" s="101" t="s">
        <v>98</v>
      </c>
      <c r="AC2" s="101" t="s">
        <v>99</v>
      </c>
      <c r="AD2" s="101" t="s">
        <v>100</v>
      </c>
      <c r="AE2" s="101" t="s">
        <v>101</v>
      </c>
      <c r="AG2" s="101" t="s">
        <v>102</v>
      </c>
      <c r="AH2" s="101" t="s">
        <v>103</v>
      </c>
      <c r="AI2" s="101" t="s">
        <v>104</v>
      </c>
      <c r="AJ2" s="101" t="s">
        <v>101</v>
      </c>
      <c r="AL2" s="100" t="s">
        <v>105</v>
      </c>
      <c r="AM2" s="100" t="s">
        <v>106</v>
      </c>
      <c r="AN2" s="100" t="s">
        <v>107</v>
      </c>
      <c r="AO2" s="100" t="s">
        <v>108</v>
      </c>
      <c r="AP2" s="13"/>
      <c r="AQ2" s="100" t="s">
        <v>109</v>
      </c>
      <c r="AR2" s="100" t="s">
        <v>110</v>
      </c>
      <c r="AS2" s="100" t="s">
        <v>111</v>
      </c>
      <c r="AT2" s="100" t="s">
        <v>108</v>
      </c>
      <c r="AU2" s="13"/>
      <c r="AV2" s="100" t="s">
        <v>112</v>
      </c>
      <c r="AW2" s="100" t="s">
        <v>113</v>
      </c>
      <c r="AX2" s="100" t="s">
        <v>114</v>
      </c>
      <c r="AY2" s="100" t="s">
        <v>115</v>
      </c>
      <c r="AZ2" s="13"/>
      <c r="BA2" s="99" t="s">
        <v>86</v>
      </c>
      <c r="BB2" s="103" t="s">
        <v>116</v>
      </c>
      <c r="BC2" s="103" t="s">
        <v>117</v>
      </c>
      <c r="BD2" s="103" t="s">
        <v>118</v>
      </c>
      <c r="BE2" s="103" t="s">
        <v>119</v>
      </c>
      <c r="BF2" s="13"/>
      <c r="BG2" s="103" t="s">
        <v>120</v>
      </c>
      <c r="BH2" s="103" t="s">
        <v>121</v>
      </c>
      <c r="BI2" s="103" t="s">
        <v>122</v>
      </c>
      <c r="BJ2" s="103" t="s">
        <v>123</v>
      </c>
      <c r="BK2" s="13"/>
      <c r="BL2" s="103" t="s">
        <v>124</v>
      </c>
      <c r="BM2" s="103" t="s">
        <v>125</v>
      </c>
      <c r="BN2" s="103" t="s">
        <v>126</v>
      </c>
      <c r="BO2" s="103" t="s">
        <v>127</v>
      </c>
    </row>
    <row r="3" spans="1:67" x14ac:dyDescent="0.25">
      <c r="A3" s="14" t="s">
        <v>128</v>
      </c>
      <c r="B3" s="13"/>
      <c r="C3" s="104">
        <v>512132</v>
      </c>
      <c r="D3" s="104">
        <v>-169248</v>
      </c>
      <c r="E3" s="104">
        <v>-230536</v>
      </c>
      <c r="F3" s="104">
        <v>1954277</v>
      </c>
      <c r="G3" s="13"/>
      <c r="H3" s="104">
        <v>257978</v>
      </c>
      <c r="I3" s="104">
        <v>-104490</v>
      </c>
      <c r="J3" s="104">
        <v>-127029</v>
      </c>
      <c r="K3" s="104">
        <v>1954277</v>
      </c>
      <c r="L3" s="13"/>
      <c r="M3" s="104">
        <v>254154</v>
      </c>
      <c r="N3" s="104">
        <v>-64758</v>
      </c>
      <c r="O3" s="104">
        <v>-103507</v>
      </c>
      <c r="P3" s="104">
        <v>1952787</v>
      </c>
      <c r="Q3" s="13"/>
      <c r="R3" s="104">
        <v>1205944</v>
      </c>
      <c r="S3" s="104">
        <v>9137</v>
      </c>
      <c r="T3" s="104">
        <v>-104328</v>
      </c>
      <c r="U3" s="104">
        <v>1657407</v>
      </c>
      <c r="V3" s="20"/>
      <c r="W3" s="104">
        <v>331130</v>
      </c>
      <c r="X3" s="104">
        <v>32369</v>
      </c>
      <c r="Y3" s="104">
        <v>3251</v>
      </c>
      <c r="Z3" s="104">
        <v>1657407</v>
      </c>
      <c r="AA3" s="20"/>
      <c r="AB3" s="104">
        <v>874814</v>
      </c>
      <c r="AC3" s="104">
        <v>-23232</v>
      </c>
      <c r="AD3" s="104">
        <v>-107579</v>
      </c>
      <c r="AE3" s="104">
        <v>1691191</v>
      </c>
      <c r="AG3" s="104">
        <v>332863</v>
      </c>
      <c r="AH3" s="104">
        <v>134670</v>
      </c>
      <c r="AI3" s="104">
        <v>106686</v>
      </c>
      <c r="AJ3" s="104">
        <v>1691191</v>
      </c>
      <c r="AL3" s="105">
        <v>541951</v>
      </c>
      <c r="AM3" s="105">
        <v>-157903</v>
      </c>
      <c r="AN3" s="105">
        <v>-214265</v>
      </c>
      <c r="AO3" s="105">
        <v>1728184</v>
      </c>
      <c r="AP3" s="13"/>
      <c r="AQ3" s="105">
        <v>273192</v>
      </c>
      <c r="AR3" s="105">
        <v>-113717</v>
      </c>
      <c r="AS3" s="105">
        <v>-142220</v>
      </c>
      <c r="AT3" s="105">
        <v>1728184</v>
      </c>
      <c r="AU3" s="13"/>
      <c r="AV3" s="105">
        <v>268759</v>
      </c>
      <c r="AW3" s="105">
        <v>-44186</v>
      </c>
      <c r="AX3" s="105">
        <v>-72045</v>
      </c>
      <c r="AY3" s="105">
        <v>1773973</v>
      </c>
      <c r="AZ3" s="13"/>
      <c r="BA3" s="14" t="s">
        <v>128</v>
      </c>
      <c r="BB3" s="106">
        <v>1194024</v>
      </c>
      <c r="BC3" s="106">
        <v>98412</v>
      </c>
      <c r="BD3" s="106">
        <v>-6829</v>
      </c>
      <c r="BE3" s="106">
        <v>1742510</v>
      </c>
      <c r="BF3" s="13"/>
      <c r="BG3" s="106">
        <v>870843</v>
      </c>
      <c r="BH3" s="106">
        <v>83480</v>
      </c>
      <c r="BI3" s="106">
        <v>5347</v>
      </c>
      <c r="BJ3" s="106">
        <v>1666780</v>
      </c>
      <c r="BK3" s="13"/>
      <c r="BL3" s="106">
        <v>529412</v>
      </c>
      <c r="BM3" s="106">
        <v>28174</v>
      </c>
      <c r="BN3" s="106">
        <v>-23785</v>
      </c>
      <c r="BO3" s="106">
        <v>1640587</v>
      </c>
    </row>
    <row r="4" spans="1:67" x14ac:dyDescent="0.25">
      <c r="A4" s="20" t="s">
        <v>129</v>
      </c>
      <c r="B4" s="13"/>
      <c r="C4" s="104">
        <v>2342634</v>
      </c>
      <c r="D4" s="104">
        <v>353961</v>
      </c>
      <c r="E4" s="104">
        <v>-558311</v>
      </c>
      <c r="F4" s="104">
        <v>10151833</v>
      </c>
      <c r="G4" s="13"/>
      <c r="H4" s="104">
        <v>1070810</v>
      </c>
      <c r="I4" s="104">
        <v>162812</v>
      </c>
      <c r="J4" s="104">
        <v>-647533</v>
      </c>
      <c r="K4" s="104">
        <v>10151833</v>
      </c>
      <c r="L4" s="13"/>
      <c r="M4" s="104">
        <v>1271824</v>
      </c>
      <c r="N4" s="104">
        <v>191149</v>
      </c>
      <c r="O4" s="104">
        <v>89222</v>
      </c>
      <c r="P4" s="104">
        <v>10775702</v>
      </c>
      <c r="Q4" s="13"/>
      <c r="R4" s="104">
        <v>5376280</v>
      </c>
      <c r="S4" s="104">
        <v>754751</v>
      </c>
      <c r="T4" s="104">
        <v>-3477076</v>
      </c>
      <c r="U4" s="104">
        <v>10788413</v>
      </c>
      <c r="V4" s="20"/>
      <c r="W4" s="104">
        <v>1464821</v>
      </c>
      <c r="X4" s="104">
        <v>190712</v>
      </c>
      <c r="Y4" s="104">
        <v>-3607565</v>
      </c>
      <c r="Z4" s="104">
        <v>10788413</v>
      </c>
      <c r="AA4" s="20"/>
      <c r="AB4" s="104">
        <v>3911459</v>
      </c>
      <c r="AC4" s="104">
        <v>564039</v>
      </c>
      <c r="AD4" s="104">
        <v>130489</v>
      </c>
      <c r="AE4" s="104">
        <v>13965188</v>
      </c>
      <c r="AG4" s="104">
        <v>1164371</v>
      </c>
      <c r="AH4" s="104">
        <v>97637</v>
      </c>
      <c r="AI4" s="104">
        <v>-51447</v>
      </c>
      <c r="AJ4" s="104">
        <v>13965188</v>
      </c>
      <c r="AL4" s="105">
        <v>2674765</v>
      </c>
      <c r="AM4" s="105">
        <v>472911</v>
      </c>
      <c r="AN4" s="105">
        <v>181936</v>
      </c>
      <c r="AO4" s="105">
        <v>13605284</v>
      </c>
      <c r="AP4" s="13"/>
      <c r="AQ4" s="105">
        <v>1147664</v>
      </c>
      <c r="AR4" s="105">
        <v>188570</v>
      </c>
      <c r="AS4" s="105">
        <v>44376</v>
      </c>
      <c r="AT4" s="105">
        <v>13605284</v>
      </c>
      <c r="AU4" s="13"/>
      <c r="AV4" s="105">
        <v>1527101</v>
      </c>
      <c r="AW4" s="105">
        <v>284341</v>
      </c>
      <c r="AX4" s="105">
        <v>137560</v>
      </c>
      <c r="AY4" s="105">
        <v>13386310</v>
      </c>
      <c r="AZ4" s="13"/>
      <c r="BA4" s="20" t="s">
        <v>129</v>
      </c>
      <c r="BB4" s="105">
        <v>3218162</v>
      </c>
      <c r="BC4" s="105">
        <v>251838</v>
      </c>
      <c r="BD4" s="105">
        <v>-189247</v>
      </c>
      <c r="BE4" s="107">
        <v>8393127</v>
      </c>
      <c r="BF4" s="13"/>
      <c r="BG4" s="105">
        <v>2304778</v>
      </c>
      <c r="BH4" s="105">
        <v>200144</v>
      </c>
      <c r="BI4" s="105">
        <v>-154254</v>
      </c>
      <c r="BJ4" s="107">
        <v>7636136</v>
      </c>
      <c r="BK4" s="13"/>
      <c r="BL4" s="105">
        <v>1472664</v>
      </c>
      <c r="BM4" s="105">
        <v>126991</v>
      </c>
      <c r="BN4" s="105">
        <v>-110708</v>
      </c>
      <c r="BO4" s="107">
        <v>7741435</v>
      </c>
    </row>
    <row r="5" spans="1:67" x14ac:dyDescent="0.25">
      <c r="A5" s="20" t="s">
        <v>130</v>
      </c>
      <c r="B5" s="13"/>
      <c r="C5" s="104">
        <v>3144506</v>
      </c>
      <c r="D5" s="104">
        <v>1147597</v>
      </c>
      <c r="E5" s="104">
        <v>643524</v>
      </c>
      <c r="F5" s="104">
        <v>16152899</v>
      </c>
      <c r="G5" s="13"/>
      <c r="H5" s="104">
        <v>1528119</v>
      </c>
      <c r="I5" s="104">
        <v>604338</v>
      </c>
      <c r="J5" s="104">
        <v>351932</v>
      </c>
      <c r="K5" s="104">
        <v>16152899</v>
      </c>
      <c r="L5" s="13"/>
      <c r="M5" s="104">
        <v>1616387</v>
      </c>
      <c r="N5" s="104">
        <v>543259</v>
      </c>
      <c r="O5" s="104">
        <v>291592</v>
      </c>
      <c r="P5" s="104">
        <v>16019643</v>
      </c>
      <c r="Q5" s="13"/>
      <c r="R5" s="104">
        <v>6450274</v>
      </c>
      <c r="S5" s="104">
        <v>2372129</v>
      </c>
      <c r="T5" s="104">
        <v>1371577</v>
      </c>
      <c r="U5" s="104">
        <v>15974893</v>
      </c>
      <c r="V5" s="20"/>
      <c r="W5" s="104">
        <v>1657399</v>
      </c>
      <c r="X5" s="104">
        <v>532836</v>
      </c>
      <c r="Y5" s="104">
        <v>264854</v>
      </c>
      <c r="Z5" s="104">
        <v>15974893</v>
      </c>
      <c r="AA5" s="20"/>
      <c r="AB5" s="104">
        <v>4792875</v>
      </c>
      <c r="AC5" s="104">
        <v>1839293</v>
      </c>
      <c r="AD5" s="104">
        <v>1106723</v>
      </c>
      <c r="AE5" s="104">
        <v>15402617</v>
      </c>
      <c r="AG5" s="104">
        <v>1564518</v>
      </c>
      <c r="AH5" s="104">
        <v>596633</v>
      </c>
      <c r="AI5" s="104">
        <v>348307</v>
      </c>
      <c r="AJ5" s="104">
        <v>15402617</v>
      </c>
      <c r="AL5" s="105">
        <v>3228357</v>
      </c>
      <c r="AM5" s="105">
        <v>1243279</v>
      </c>
      <c r="AN5" s="105">
        <v>758416</v>
      </c>
      <c r="AO5" s="105">
        <v>15222418</v>
      </c>
      <c r="AP5" s="13"/>
      <c r="AQ5" s="105">
        <v>1585385</v>
      </c>
      <c r="AR5" s="105">
        <v>696539</v>
      </c>
      <c r="AS5" s="105">
        <v>453363</v>
      </c>
      <c r="AT5" s="105">
        <v>15222418</v>
      </c>
      <c r="AU5" s="13"/>
      <c r="AV5" s="105">
        <v>1642972</v>
      </c>
      <c r="AW5" s="105">
        <v>546740</v>
      </c>
      <c r="AX5" s="105">
        <v>305053</v>
      </c>
      <c r="AY5" s="105">
        <v>15087347</v>
      </c>
      <c r="AZ5" s="13"/>
      <c r="BA5" s="20" t="s">
        <v>131</v>
      </c>
      <c r="BB5" s="105">
        <v>280998</v>
      </c>
      <c r="BC5" s="105">
        <v>180166</v>
      </c>
      <c r="BD5" s="105">
        <v>102577</v>
      </c>
      <c r="BE5" s="107">
        <v>1985920</v>
      </c>
      <c r="BF5" s="13"/>
      <c r="BG5" s="105">
        <v>215979</v>
      </c>
      <c r="BH5" s="105">
        <v>142418</v>
      </c>
      <c r="BI5" s="105">
        <v>82343</v>
      </c>
      <c r="BJ5" s="107">
        <v>1929270</v>
      </c>
      <c r="BK5" s="13"/>
      <c r="BL5" s="105">
        <v>144900</v>
      </c>
      <c r="BM5" s="105">
        <v>96716</v>
      </c>
      <c r="BN5" s="105">
        <v>56649</v>
      </c>
      <c r="BO5" s="107">
        <v>1929486</v>
      </c>
    </row>
    <row r="6" spans="1:67" x14ac:dyDescent="0.25">
      <c r="A6" s="20" t="s">
        <v>132</v>
      </c>
      <c r="B6" s="13"/>
      <c r="C6" s="104">
        <v>6987186</v>
      </c>
      <c r="D6" s="104">
        <v>279804</v>
      </c>
      <c r="E6" s="104">
        <v>273890</v>
      </c>
      <c r="F6" s="104">
        <v>2310378</v>
      </c>
      <c r="G6" s="13"/>
      <c r="H6" s="104">
        <v>3395998</v>
      </c>
      <c r="I6" s="104">
        <v>113042</v>
      </c>
      <c r="J6" s="104">
        <v>113669</v>
      </c>
      <c r="K6" s="104">
        <v>2310378</v>
      </c>
      <c r="L6" s="13"/>
      <c r="M6" s="104">
        <v>3591188</v>
      </c>
      <c r="N6" s="104">
        <v>166762</v>
      </c>
      <c r="O6" s="104">
        <v>160221</v>
      </c>
      <c r="P6" s="104">
        <v>2398142</v>
      </c>
      <c r="Q6" s="13"/>
      <c r="R6" s="104">
        <v>15984139</v>
      </c>
      <c r="S6" s="104">
        <v>380480</v>
      </c>
      <c r="T6" s="104">
        <v>369604</v>
      </c>
      <c r="U6" s="104">
        <v>2706907</v>
      </c>
      <c r="V6" s="20"/>
      <c r="W6" s="104">
        <v>4170986</v>
      </c>
      <c r="X6" s="104">
        <v>-71455</v>
      </c>
      <c r="Y6" s="104">
        <v>-74193</v>
      </c>
      <c r="Z6" s="104">
        <v>2706907</v>
      </c>
      <c r="AA6" s="20"/>
      <c r="AB6" s="104">
        <v>11813153</v>
      </c>
      <c r="AC6" s="104">
        <v>451935</v>
      </c>
      <c r="AD6" s="104">
        <v>443797</v>
      </c>
      <c r="AE6" s="104">
        <v>3016254</v>
      </c>
      <c r="AG6" s="104">
        <v>3719173</v>
      </c>
      <c r="AH6" s="104">
        <v>116782</v>
      </c>
      <c r="AI6" s="104">
        <v>114042</v>
      </c>
      <c r="AJ6" s="104">
        <v>3016254</v>
      </c>
      <c r="AL6" s="105">
        <v>8093980</v>
      </c>
      <c r="AM6" s="105">
        <v>335153</v>
      </c>
      <c r="AN6" s="105">
        <v>329755</v>
      </c>
      <c r="AO6" s="105">
        <v>2836963</v>
      </c>
      <c r="AP6" s="13"/>
      <c r="AQ6" s="105">
        <v>3915698</v>
      </c>
      <c r="AR6" s="105">
        <v>141382</v>
      </c>
      <c r="AS6" s="105">
        <v>138710</v>
      </c>
      <c r="AT6" s="105">
        <v>2836963</v>
      </c>
      <c r="AU6" s="13"/>
      <c r="AV6" s="105">
        <v>4178282</v>
      </c>
      <c r="AW6" s="105">
        <v>193771</v>
      </c>
      <c r="AX6" s="105">
        <v>191045</v>
      </c>
      <c r="AY6" s="105">
        <v>3003005</v>
      </c>
      <c r="AZ6" s="13"/>
      <c r="BA6" s="20" t="s">
        <v>133</v>
      </c>
      <c r="BB6" s="105">
        <v>1355454</v>
      </c>
      <c r="BC6" s="105">
        <v>308407</v>
      </c>
      <c r="BD6" s="105">
        <v>158763</v>
      </c>
      <c r="BE6" s="105">
        <v>2781001</v>
      </c>
      <c r="BF6" s="13"/>
      <c r="BG6" s="105">
        <v>966998</v>
      </c>
      <c r="BH6" s="105">
        <v>181802</v>
      </c>
      <c r="BI6" s="105">
        <v>71156</v>
      </c>
      <c r="BJ6" s="105">
        <v>3101958</v>
      </c>
      <c r="BK6" s="13"/>
      <c r="BL6" s="105">
        <v>717877</v>
      </c>
      <c r="BM6" s="105">
        <v>165226</v>
      </c>
      <c r="BN6" s="105">
        <v>92480</v>
      </c>
      <c r="BO6" s="105">
        <v>2962505</v>
      </c>
    </row>
    <row r="7" spans="1:67" x14ac:dyDescent="0.25">
      <c r="A7" s="25" t="s">
        <v>134</v>
      </c>
      <c r="B7" s="13"/>
      <c r="C7" s="108">
        <v>428843</v>
      </c>
      <c r="D7" s="108">
        <v>66036</v>
      </c>
      <c r="E7" s="108">
        <v>29822</v>
      </c>
      <c r="F7" s="108">
        <v>443449</v>
      </c>
      <c r="G7" s="13"/>
      <c r="H7" s="108">
        <v>211401</v>
      </c>
      <c r="I7" s="108">
        <v>35550</v>
      </c>
      <c r="J7" s="108">
        <v>17383</v>
      </c>
      <c r="K7" s="108">
        <v>443449</v>
      </c>
      <c r="L7" s="13"/>
      <c r="M7" s="108">
        <v>217442</v>
      </c>
      <c r="N7" s="108">
        <v>30486</v>
      </c>
      <c r="O7" s="108">
        <v>12439</v>
      </c>
      <c r="P7" s="108">
        <v>460262</v>
      </c>
      <c r="Q7" s="13"/>
      <c r="R7" s="108">
        <v>927953</v>
      </c>
      <c r="S7" s="108">
        <v>100320</v>
      </c>
      <c r="T7" s="108">
        <v>32596</v>
      </c>
      <c r="U7" s="108">
        <v>478618</v>
      </c>
      <c r="V7" s="20"/>
      <c r="W7" s="108">
        <v>225159</v>
      </c>
      <c r="X7" s="108">
        <v>2137</v>
      </c>
      <c r="Y7" s="108">
        <v>-15376</v>
      </c>
      <c r="Z7" s="108">
        <v>478618</v>
      </c>
      <c r="AA7" s="20"/>
      <c r="AB7" s="108">
        <v>702794</v>
      </c>
      <c r="AC7" s="108">
        <v>98183</v>
      </c>
      <c r="AD7" s="108">
        <v>47972</v>
      </c>
      <c r="AE7" s="108">
        <v>438649</v>
      </c>
      <c r="AG7" s="108">
        <v>199648</v>
      </c>
      <c r="AH7" s="108">
        <v>37188</v>
      </c>
      <c r="AI7" s="108">
        <v>20076</v>
      </c>
      <c r="AJ7" s="108">
        <v>438649</v>
      </c>
      <c r="AL7" s="109">
        <v>503146</v>
      </c>
      <c r="AM7" s="109">
        <v>60856</v>
      </c>
      <c r="AN7" s="109">
        <v>27896</v>
      </c>
      <c r="AO7" s="109">
        <v>448459</v>
      </c>
      <c r="AP7" s="13"/>
      <c r="AQ7" s="109">
        <v>239006</v>
      </c>
      <c r="AR7" s="109">
        <v>17517</v>
      </c>
      <c r="AS7" s="109">
        <v>789</v>
      </c>
      <c r="AT7" s="109">
        <v>448459</v>
      </c>
      <c r="AU7" s="13"/>
      <c r="AV7" s="109">
        <v>264140</v>
      </c>
      <c r="AW7" s="109">
        <v>43339</v>
      </c>
      <c r="AX7" s="109">
        <v>27107</v>
      </c>
      <c r="AY7" s="109">
        <v>484742</v>
      </c>
      <c r="AZ7" s="13"/>
      <c r="BA7" s="20" t="s">
        <v>130</v>
      </c>
      <c r="BB7" s="105">
        <v>6074646</v>
      </c>
      <c r="BC7" s="105">
        <v>2157136</v>
      </c>
      <c r="BD7" s="105">
        <v>1209344</v>
      </c>
      <c r="BE7" s="107">
        <v>15012125</v>
      </c>
      <c r="BF7" s="13"/>
      <c r="BG7" s="105">
        <v>4528811</v>
      </c>
      <c r="BH7" s="105">
        <v>1777840</v>
      </c>
      <c r="BI7" s="105">
        <v>1070837</v>
      </c>
      <c r="BJ7" s="107">
        <v>14581007</v>
      </c>
      <c r="BK7" s="13"/>
      <c r="BL7" s="105">
        <v>3048951</v>
      </c>
      <c r="BM7" s="105">
        <v>1169688</v>
      </c>
      <c r="BN7" s="105">
        <v>700012</v>
      </c>
      <c r="BO7" s="107">
        <v>14377042</v>
      </c>
    </row>
    <row r="8" spans="1:67" x14ac:dyDescent="0.2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V8" s="34"/>
      <c r="AA8" s="34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20" t="s">
        <v>132</v>
      </c>
      <c r="BB8" s="105">
        <v>15277451</v>
      </c>
      <c r="BC8" s="105">
        <v>608213</v>
      </c>
      <c r="BD8" s="105">
        <v>582307</v>
      </c>
      <c r="BE8" s="107">
        <v>3715551</v>
      </c>
      <c r="BF8" s="13"/>
      <c r="BG8" s="105">
        <v>11266992</v>
      </c>
      <c r="BH8" s="105">
        <v>501464</v>
      </c>
      <c r="BI8" s="105">
        <v>478799</v>
      </c>
      <c r="BJ8" s="107">
        <v>2413083</v>
      </c>
      <c r="BK8" s="13"/>
      <c r="BL8" s="105">
        <v>7575109</v>
      </c>
      <c r="BM8" s="105">
        <v>391634</v>
      </c>
      <c r="BN8" s="105">
        <v>373508</v>
      </c>
      <c r="BO8" s="107">
        <v>2040729</v>
      </c>
    </row>
    <row r="9" spans="1:67" x14ac:dyDescent="0.2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V9" s="34"/>
      <c r="AA9" s="34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20" t="s">
        <v>135</v>
      </c>
      <c r="BB9" s="105">
        <v>610021</v>
      </c>
      <c r="BC9" s="105">
        <v>84165</v>
      </c>
      <c r="BD9" s="105">
        <v>41120</v>
      </c>
      <c r="BE9" s="105">
        <v>267663</v>
      </c>
      <c r="BF9" s="13"/>
      <c r="BG9" s="105">
        <v>456151</v>
      </c>
      <c r="BH9" s="105">
        <v>86553</v>
      </c>
      <c r="BI9" s="105">
        <v>56211</v>
      </c>
      <c r="BJ9" s="105">
        <v>230454</v>
      </c>
      <c r="BK9" s="13"/>
      <c r="BL9" s="105">
        <v>300764</v>
      </c>
      <c r="BM9" s="105">
        <v>55352</v>
      </c>
      <c r="BN9" s="105">
        <v>36866</v>
      </c>
      <c r="BO9" s="105">
        <v>222294</v>
      </c>
    </row>
    <row r="10" spans="1:67" ht="38.25" x14ac:dyDescent="0.25">
      <c r="A10" s="110" t="s">
        <v>86</v>
      </c>
      <c r="B10" s="13"/>
      <c r="C10" s="100" t="s">
        <v>105</v>
      </c>
      <c r="D10" s="100" t="s">
        <v>106</v>
      </c>
      <c r="E10" s="100" t="s">
        <v>107</v>
      </c>
      <c r="F10" s="100" t="s">
        <v>108</v>
      </c>
      <c r="G10" s="13"/>
      <c r="H10" s="100" t="s">
        <v>109</v>
      </c>
      <c r="I10" s="100" t="s">
        <v>110</v>
      </c>
      <c r="J10" s="100" t="s">
        <v>111</v>
      </c>
      <c r="K10" s="100" t="s">
        <v>108</v>
      </c>
      <c r="L10" s="13"/>
      <c r="M10" s="100" t="s">
        <v>112</v>
      </c>
      <c r="N10" s="100" t="s">
        <v>113</v>
      </c>
      <c r="O10" s="100" t="s">
        <v>114</v>
      </c>
      <c r="P10" s="100" t="s">
        <v>115</v>
      </c>
      <c r="Q10" s="13"/>
      <c r="R10" s="111" t="s">
        <v>136</v>
      </c>
      <c r="S10" s="111" t="s">
        <v>137</v>
      </c>
      <c r="T10" s="111" t="s">
        <v>138</v>
      </c>
      <c r="U10" s="111" t="s">
        <v>139</v>
      </c>
      <c r="V10" s="34"/>
      <c r="W10" s="111" t="s">
        <v>140</v>
      </c>
      <c r="X10" s="111" t="s">
        <v>141</v>
      </c>
      <c r="Y10" s="111" t="s">
        <v>142</v>
      </c>
      <c r="Z10" s="111" t="s">
        <v>139</v>
      </c>
      <c r="AA10" s="102"/>
      <c r="AB10" s="111" t="s">
        <v>120</v>
      </c>
      <c r="AC10" s="111" t="s">
        <v>121</v>
      </c>
      <c r="AD10" s="111" t="s">
        <v>122</v>
      </c>
      <c r="AE10" s="111" t="s">
        <v>143</v>
      </c>
      <c r="AG10" s="111" t="s">
        <v>144</v>
      </c>
      <c r="AH10" s="111" t="s">
        <v>145</v>
      </c>
      <c r="AI10" s="111" t="s">
        <v>146</v>
      </c>
      <c r="AJ10" s="111" t="s">
        <v>143</v>
      </c>
      <c r="AL10" s="111" t="s">
        <v>147</v>
      </c>
      <c r="AM10" s="111" t="s">
        <v>148</v>
      </c>
      <c r="AN10" s="111" t="s">
        <v>149</v>
      </c>
      <c r="AO10" s="111" t="s">
        <v>150</v>
      </c>
      <c r="AP10" s="13"/>
      <c r="AQ10" s="111" t="s">
        <v>151</v>
      </c>
      <c r="AR10" s="111" t="s">
        <v>152</v>
      </c>
      <c r="AS10" s="111" t="s">
        <v>153</v>
      </c>
      <c r="AT10" s="111" t="s">
        <v>150</v>
      </c>
      <c r="AU10" s="13"/>
      <c r="AV10" s="111" t="s">
        <v>154</v>
      </c>
      <c r="AW10" s="111" t="s">
        <v>155</v>
      </c>
      <c r="AX10" s="111" t="s">
        <v>156</v>
      </c>
      <c r="AY10" s="111" t="s">
        <v>157</v>
      </c>
      <c r="AZ10" s="13"/>
      <c r="BA10" s="25" t="s">
        <v>134</v>
      </c>
      <c r="BB10" s="112">
        <v>261063</v>
      </c>
      <c r="BC10" s="112">
        <v>22158</v>
      </c>
      <c r="BD10" s="112">
        <v>15473</v>
      </c>
      <c r="BE10" s="112">
        <v>191933</v>
      </c>
      <c r="BF10" s="13"/>
      <c r="BG10" s="112">
        <v>203834</v>
      </c>
      <c r="BH10" s="112">
        <v>22996</v>
      </c>
      <c r="BI10" s="112">
        <v>17890</v>
      </c>
      <c r="BJ10" s="112">
        <v>160564</v>
      </c>
      <c r="BK10" s="13"/>
      <c r="BL10" s="112">
        <v>125080</v>
      </c>
      <c r="BM10" s="112">
        <v>11886</v>
      </c>
      <c r="BN10" s="112">
        <v>8501</v>
      </c>
      <c r="BO10" s="112">
        <v>182892</v>
      </c>
    </row>
    <row r="11" spans="1:67" x14ac:dyDescent="0.25">
      <c r="A11" s="14" t="s">
        <v>128</v>
      </c>
      <c r="B11" s="13"/>
      <c r="C11" s="105">
        <v>541951</v>
      </c>
      <c r="D11" s="105">
        <v>-157902</v>
      </c>
      <c r="E11" s="105">
        <v>-214265</v>
      </c>
      <c r="F11" s="105">
        <v>1657407</v>
      </c>
      <c r="G11" s="13"/>
      <c r="H11" s="105">
        <v>273192</v>
      </c>
      <c r="I11" s="105">
        <v>-113811</v>
      </c>
      <c r="J11" s="105">
        <v>-142220</v>
      </c>
      <c r="K11" s="105">
        <v>1657407</v>
      </c>
      <c r="L11" s="13"/>
      <c r="M11" s="105">
        <v>268759</v>
      </c>
      <c r="N11" s="105">
        <v>-44091</v>
      </c>
      <c r="O11" s="105">
        <v>-72045</v>
      </c>
      <c r="P11" s="105">
        <v>1657407</v>
      </c>
      <c r="Q11" s="13"/>
      <c r="R11" s="105">
        <v>1194024</v>
      </c>
      <c r="S11" s="105">
        <v>98420</v>
      </c>
      <c r="T11" s="105">
        <v>-6829</v>
      </c>
      <c r="U11" s="105">
        <v>1742510</v>
      </c>
      <c r="V11" s="20"/>
      <c r="W11" s="105">
        <v>323181</v>
      </c>
      <c r="X11" s="105">
        <v>14867</v>
      </c>
      <c r="Y11" s="105">
        <v>-12176</v>
      </c>
      <c r="Z11" s="105">
        <v>1742510</v>
      </c>
      <c r="AA11" s="20"/>
      <c r="AB11" s="105">
        <v>870843</v>
      </c>
      <c r="AC11" s="105">
        <v>83553</v>
      </c>
      <c r="AD11" s="105">
        <v>5347</v>
      </c>
      <c r="AE11" s="105">
        <v>1742510</v>
      </c>
      <c r="AG11" s="105">
        <v>341431</v>
      </c>
      <c r="AH11" s="105">
        <v>55252</v>
      </c>
      <c r="AI11" s="105">
        <v>29132</v>
      </c>
      <c r="AJ11" s="105">
        <v>1742510</v>
      </c>
      <c r="AL11" s="105">
        <v>529412</v>
      </c>
      <c r="AM11" s="105">
        <v>28174</v>
      </c>
      <c r="AN11" s="105">
        <v>-23785</v>
      </c>
      <c r="AO11" s="105">
        <v>1742510</v>
      </c>
      <c r="AP11" s="13"/>
      <c r="AQ11" s="105">
        <v>281247</v>
      </c>
      <c r="AR11" s="105">
        <v>8471</v>
      </c>
      <c r="AS11" s="105">
        <v>-16826</v>
      </c>
      <c r="AT11" s="105">
        <v>1742510</v>
      </c>
      <c r="AU11" s="13"/>
      <c r="AV11" s="105">
        <v>248165</v>
      </c>
      <c r="AW11" s="105">
        <v>19703</v>
      </c>
      <c r="AX11" s="105">
        <v>-6959</v>
      </c>
      <c r="AY11" s="105">
        <v>1742510</v>
      </c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</row>
    <row r="12" spans="1:67" x14ac:dyDescent="0.25">
      <c r="A12" s="20" t="s">
        <v>129</v>
      </c>
      <c r="B12" s="13"/>
      <c r="C12" s="105">
        <v>2747088</v>
      </c>
      <c r="D12" s="105">
        <v>466402</v>
      </c>
      <c r="E12" s="105">
        <v>181936</v>
      </c>
      <c r="F12" s="105">
        <v>10788413</v>
      </c>
      <c r="G12" s="13"/>
      <c r="H12" s="105">
        <v>1184017</v>
      </c>
      <c r="I12" s="105">
        <v>188031</v>
      </c>
      <c r="J12" s="105">
        <v>44376</v>
      </c>
      <c r="K12" s="105">
        <v>10788413</v>
      </c>
      <c r="L12" s="13"/>
      <c r="M12" s="105">
        <v>1563071</v>
      </c>
      <c r="N12" s="105">
        <v>278371</v>
      </c>
      <c r="O12" s="105">
        <v>137560</v>
      </c>
      <c r="P12" s="105">
        <v>10788413</v>
      </c>
      <c r="Q12" s="13"/>
      <c r="R12" s="105">
        <v>4963651</v>
      </c>
      <c r="S12" s="105">
        <v>792803</v>
      </c>
      <c r="T12" s="105">
        <v>72093</v>
      </c>
      <c r="U12" s="105">
        <v>13160048</v>
      </c>
      <c r="V12" s="20"/>
      <c r="W12" s="105">
        <v>1379772.8041700004</v>
      </c>
      <c r="X12" s="105">
        <v>258487</v>
      </c>
      <c r="Y12" s="105">
        <v>72848</v>
      </c>
      <c r="Z12" s="105">
        <v>13160048</v>
      </c>
      <c r="AA12" s="20"/>
      <c r="AB12" s="105">
        <v>3583878.1958299996</v>
      </c>
      <c r="AC12" s="105">
        <v>534316</v>
      </c>
      <c r="AD12" s="105">
        <v>-755</v>
      </c>
      <c r="AE12" s="105">
        <v>13160048</v>
      </c>
      <c r="AG12" s="105">
        <v>1184469.1958299996</v>
      </c>
      <c r="AH12" s="105">
        <v>135550</v>
      </c>
      <c r="AI12" s="105">
        <v>-39176</v>
      </c>
      <c r="AJ12" s="105">
        <v>13160048</v>
      </c>
      <c r="AL12" s="105">
        <v>2320273.9343399997</v>
      </c>
      <c r="AM12" s="105">
        <v>388933</v>
      </c>
      <c r="AN12" s="105">
        <v>38421</v>
      </c>
      <c r="AO12" s="105">
        <v>13160048</v>
      </c>
      <c r="AP12" s="13"/>
      <c r="AQ12" s="105">
        <v>1067907.9343399997</v>
      </c>
      <c r="AR12" s="105">
        <v>136494</v>
      </c>
      <c r="AS12" s="105">
        <v>-38190</v>
      </c>
      <c r="AT12" s="105">
        <v>13160048</v>
      </c>
      <c r="AU12" s="13"/>
      <c r="AV12" s="105">
        <v>1252366</v>
      </c>
      <c r="AW12" s="105">
        <v>252439</v>
      </c>
      <c r="AX12" s="105">
        <v>76611</v>
      </c>
      <c r="AY12" s="105">
        <v>13160048</v>
      </c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</row>
    <row r="13" spans="1:67" ht="15.75" customHeight="1" x14ac:dyDescent="0.25">
      <c r="A13" s="20" t="s">
        <v>130</v>
      </c>
      <c r="B13" s="13"/>
      <c r="C13" s="105">
        <v>3228357</v>
      </c>
      <c r="D13" s="105">
        <v>1242660</v>
      </c>
      <c r="E13" s="105">
        <v>758416</v>
      </c>
      <c r="F13" s="105">
        <v>15974893</v>
      </c>
      <c r="G13" s="13"/>
      <c r="H13" s="105">
        <v>1585385</v>
      </c>
      <c r="I13" s="105">
        <v>696000</v>
      </c>
      <c r="J13" s="105">
        <v>453363</v>
      </c>
      <c r="K13" s="105">
        <v>15974893</v>
      </c>
      <c r="L13" s="13"/>
      <c r="M13" s="105">
        <v>1642972</v>
      </c>
      <c r="N13" s="105">
        <v>546660</v>
      </c>
      <c r="O13" s="105">
        <v>305053</v>
      </c>
      <c r="P13" s="105">
        <v>15974893</v>
      </c>
      <c r="Q13" s="13"/>
      <c r="R13" s="105">
        <v>6074646</v>
      </c>
      <c r="S13" s="105">
        <v>2172288</v>
      </c>
      <c r="T13" s="105">
        <v>1209344</v>
      </c>
      <c r="U13" s="105">
        <v>15012125</v>
      </c>
      <c r="V13" s="20"/>
      <c r="W13" s="105">
        <v>1545835</v>
      </c>
      <c r="X13" s="105">
        <v>394396</v>
      </c>
      <c r="Y13" s="105">
        <v>138507</v>
      </c>
      <c r="Z13" s="105">
        <v>15012125</v>
      </c>
      <c r="AA13" s="20"/>
      <c r="AB13" s="105">
        <v>4528811</v>
      </c>
      <c r="AC13" s="105">
        <v>1777892</v>
      </c>
      <c r="AD13" s="105">
        <v>1070837</v>
      </c>
      <c r="AE13" s="105">
        <v>15012125</v>
      </c>
      <c r="AG13" s="105">
        <v>1479860</v>
      </c>
      <c r="AH13" s="105">
        <v>608152</v>
      </c>
      <c r="AI13" s="105">
        <v>370825</v>
      </c>
      <c r="AJ13" s="105">
        <v>15012125</v>
      </c>
      <c r="AL13" s="105">
        <v>3048951</v>
      </c>
      <c r="AM13" s="105">
        <v>1169688</v>
      </c>
      <c r="AN13" s="105">
        <v>700012</v>
      </c>
      <c r="AO13" s="105">
        <v>15012125</v>
      </c>
      <c r="AP13" s="13"/>
      <c r="AQ13" s="105">
        <v>1490614</v>
      </c>
      <c r="AR13" s="105">
        <v>612000</v>
      </c>
      <c r="AS13" s="105">
        <v>376007</v>
      </c>
      <c r="AT13" s="105">
        <v>15012125</v>
      </c>
      <c r="AU13" s="13"/>
      <c r="AV13" s="105">
        <v>1558337</v>
      </c>
      <c r="AW13" s="105">
        <v>557688</v>
      </c>
      <c r="AX13" s="105">
        <v>324005</v>
      </c>
      <c r="AY13" s="105">
        <v>15012125</v>
      </c>
      <c r="AZ13" s="13"/>
      <c r="BA13" s="110" t="s">
        <v>86</v>
      </c>
      <c r="BB13" s="111" t="s">
        <v>158</v>
      </c>
      <c r="BC13" s="111" t="s">
        <v>159</v>
      </c>
      <c r="BD13" s="111" t="s">
        <v>160</v>
      </c>
      <c r="BE13" s="111" t="s">
        <v>161</v>
      </c>
      <c r="BF13" s="13"/>
      <c r="BG13" s="111" t="s">
        <v>162</v>
      </c>
      <c r="BH13" s="111" t="s">
        <v>163</v>
      </c>
      <c r="BI13" s="111" t="s">
        <v>164</v>
      </c>
      <c r="BJ13" s="111" t="s">
        <v>165</v>
      </c>
      <c r="BK13" s="13"/>
      <c r="BL13" s="111" t="s">
        <v>166</v>
      </c>
      <c r="BM13" s="111" t="s">
        <v>167</v>
      </c>
      <c r="BN13" s="111" t="s">
        <v>168</v>
      </c>
      <c r="BO13" s="111" t="s">
        <v>169</v>
      </c>
    </row>
    <row r="14" spans="1:67" x14ac:dyDescent="0.25">
      <c r="A14" s="20" t="s">
        <v>132</v>
      </c>
      <c r="B14" s="13"/>
      <c r="C14" s="105">
        <v>8093980</v>
      </c>
      <c r="D14" s="105">
        <v>335153</v>
      </c>
      <c r="E14" s="105">
        <v>329755</v>
      </c>
      <c r="F14" s="105">
        <v>2706907</v>
      </c>
      <c r="G14" s="13"/>
      <c r="H14" s="105">
        <v>3915698</v>
      </c>
      <c r="I14" s="105">
        <v>141382</v>
      </c>
      <c r="J14" s="105">
        <v>138710</v>
      </c>
      <c r="K14" s="105">
        <v>2706907</v>
      </c>
      <c r="L14" s="13"/>
      <c r="M14" s="105">
        <v>4178282</v>
      </c>
      <c r="N14" s="105">
        <v>193771</v>
      </c>
      <c r="O14" s="105">
        <v>191045</v>
      </c>
      <c r="P14" s="105">
        <v>2706907</v>
      </c>
      <c r="Q14" s="13"/>
      <c r="R14" s="105">
        <v>15277451</v>
      </c>
      <c r="S14" s="105">
        <v>608213</v>
      </c>
      <c r="T14" s="105">
        <v>582307</v>
      </c>
      <c r="U14" s="105">
        <v>3715551</v>
      </c>
      <c r="V14" s="20"/>
      <c r="W14" s="105">
        <v>4010459</v>
      </c>
      <c r="X14" s="105">
        <v>106749</v>
      </c>
      <c r="Y14" s="105">
        <v>103508</v>
      </c>
      <c r="Z14" s="105">
        <v>3715551</v>
      </c>
      <c r="AA14" s="20"/>
      <c r="AB14" s="105">
        <v>11266992</v>
      </c>
      <c r="AC14" s="105">
        <v>501464</v>
      </c>
      <c r="AD14" s="105">
        <v>478799</v>
      </c>
      <c r="AE14" s="105">
        <v>3715551</v>
      </c>
      <c r="AG14" s="105">
        <v>3691883</v>
      </c>
      <c r="AH14" s="105">
        <v>109830</v>
      </c>
      <c r="AI14" s="105">
        <v>105291</v>
      </c>
      <c r="AJ14" s="105">
        <v>3715551</v>
      </c>
      <c r="AL14" s="105">
        <v>7575109</v>
      </c>
      <c r="AM14" s="105">
        <v>391634</v>
      </c>
      <c r="AN14" s="105">
        <v>373508</v>
      </c>
      <c r="AO14" s="105">
        <v>3715551</v>
      </c>
      <c r="AP14" s="13"/>
      <c r="AQ14" s="105">
        <v>3479108</v>
      </c>
      <c r="AR14" s="105">
        <v>153290</v>
      </c>
      <c r="AS14" s="105">
        <v>144543</v>
      </c>
      <c r="AT14" s="105">
        <v>3715551</v>
      </c>
      <c r="AU14" s="13"/>
      <c r="AV14" s="105">
        <v>4096001</v>
      </c>
      <c r="AW14" s="105">
        <v>238344</v>
      </c>
      <c r="AX14" s="105">
        <v>228965</v>
      </c>
      <c r="AY14" s="105">
        <v>3715551</v>
      </c>
      <c r="AZ14" s="13"/>
      <c r="BA14" s="14" t="s">
        <v>128</v>
      </c>
      <c r="BB14" s="106">
        <v>1397506</v>
      </c>
      <c r="BC14" s="106">
        <v>165783</v>
      </c>
      <c r="BD14" s="106">
        <v>65786</v>
      </c>
      <c r="BE14" s="106">
        <v>1465831</v>
      </c>
      <c r="BF14" s="13"/>
      <c r="BG14" s="106">
        <v>1092570</v>
      </c>
      <c r="BH14" s="106">
        <v>168014</v>
      </c>
      <c r="BI14" s="106">
        <v>88794</v>
      </c>
      <c r="BJ14" s="106">
        <v>1465831</v>
      </c>
      <c r="BK14" s="13"/>
      <c r="BL14" s="106">
        <v>748322</v>
      </c>
      <c r="BM14" s="106">
        <v>137404</v>
      </c>
      <c r="BN14" s="106">
        <v>84452</v>
      </c>
      <c r="BO14" s="106">
        <v>1465831</v>
      </c>
    </row>
    <row r="15" spans="1:67" x14ac:dyDescent="0.25">
      <c r="A15" s="25" t="s">
        <v>134</v>
      </c>
      <c r="B15" s="13"/>
      <c r="C15" s="109">
        <v>503146</v>
      </c>
      <c r="D15" s="109">
        <v>60995</v>
      </c>
      <c r="E15" s="109">
        <v>27896</v>
      </c>
      <c r="F15" s="109">
        <v>478618</v>
      </c>
      <c r="G15" s="13"/>
      <c r="H15" s="109">
        <v>239006</v>
      </c>
      <c r="I15" s="109">
        <v>17622</v>
      </c>
      <c r="J15" s="109">
        <v>789</v>
      </c>
      <c r="K15" s="109">
        <v>478618</v>
      </c>
      <c r="L15" s="13"/>
      <c r="M15" s="109">
        <v>264140</v>
      </c>
      <c r="N15" s="109">
        <v>43373</v>
      </c>
      <c r="O15" s="109">
        <v>27107</v>
      </c>
      <c r="P15" s="109">
        <v>478618</v>
      </c>
      <c r="Q15" s="13"/>
      <c r="R15" s="109">
        <v>870035</v>
      </c>
      <c r="S15" s="109">
        <v>106215</v>
      </c>
      <c r="T15" s="109">
        <v>56593</v>
      </c>
      <c r="U15" s="109">
        <v>459596</v>
      </c>
      <c r="V15" s="20"/>
      <c r="W15" s="109">
        <v>210812.29391999985</v>
      </c>
      <c r="X15" s="109">
        <v>-3324</v>
      </c>
      <c r="Y15" s="109">
        <v>-17508</v>
      </c>
      <c r="Z15" s="109">
        <v>459596</v>
      </c>
      <c r="AA15" s="20"/>
      <c r="AB15" s="109">
        <v>659222.70608000015</v>
      </c>
      <c r="AC15" s="109">
        <v>109539</v>
      </c>
      <c r="AD15" s="109">
        <v>74101</v>
      </c>
      <c r="AE15" s="109">
        <v>459596</v>
      </c>
      <c r="AG15" s="109">
        <v>233888.70608000015</v>
      </c>
      <c r="AH15" s="109">
        <v>42296</v>
      </c>
      <c r="AI15" s="109">
        <v>28734</v>
      </c>
      <c r="AJ15" s="109">
        <v>459596</v>
      </c>
      <c r="AL15" s="109">
        <v>425334.29366000002</v>
      </c>
      <c r="AM15" s="109">
        <v>67238</v>
      </c>
      <c r="AN15" s="109">
        <v>45367</v>
      </c>
      <c r="AO15" s="109">
        <v>459596</v>
      </c>
      <c r="AP15" s="13"/>
      <c r="AQ15" s="109">
        <v>195771.29366000002</v>
      </c>
      <c r="AR15" s="109">
        <v>22700</v>
      </c>
      <c r="AS15" s="109">
        <v>11051</v>
      </c>
      <c r="AT15" s="109">
        <v>459596</v>
      </c>
      <c r="AU15" s="13"/>
      <c r="AV15" s="109">
        <v>229563</v>
      </c>
      <c r="AW15" s="109">
        <v>44538</v>
      </c>
      <c r="AX15" s="109">
        <v>34316</v>
      </c>
      <c r="AY15" s="109">
        <v>459596</v>
      </c>
      <c r="AZ15" s="13"/>
      <c r="BA15" s="20" t="s">
        <v>129</v>
      </c>
      <c r="BB15" s="105">
        <v>4574265</v>
      </c>
      <c r="BC15" s="105">
        <v>28852</v>
      </c>
      <c r="BD15" s="105">
        <v>-458954</v>
      </c>
      <c r="BE15" s="107">
        <v>8646833</v>
      </c>
      <c r="BF15" s="13"/>
      <c r="BG15" s="105">
        <v>3339570</v>
      </c>
      <c r="BH15" s="105">
        <v>117195</v>
      </c>
      <c r="BI15" s="105">
        <v>-254167</v>
      </c>
      <c r="BJ15" s="107">
        <v>8646833</v>
      </c>
      <c r="BK15" s="13"/>
      <c r="BL15" s="105">
        <v>2270136</v>
      </c>
      <c r="BM15" s="105">
        <v>28139</v>
      </c>
      <c r="BN15" s="105">
        <v>-230592</v>
      </c>
      <c r="BO15" s="107">
        <v>8646833</v>
      </c>
    </row>
    <row r="16" spans="1:67" x14ac:dyDescent="0.25">
      <c r="B16" s="13"/>
      <c r="G16" s="13"/>
      <c r="L16" s="13"/>
      <c r="M16" s="13"/>
      <c r="N16" s="13"/>
      <c r="O16" s="13"/>
      <c r="P16" s="13"/>
      <c r="Q16" s="13"/>
      <c r="V16" s="34"/>
      <c r="AA16" s="34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20" t="s">
        <v>131</v>
      </c>
      <c r="BB16" s="105">
        <v>204495</v>
      </c>
      <c r="BC16" s="105">
        <v>135563</v>
      </c>
      <c r="BD16" s="105">
        <v>92978</v>
      </c>
      <c r="BE16" s="107">
        <v>1944940</v>
      </c>
      <c r="BF16" s="13"/>
      <c r="BG16" s="105">
        <v>128900</v>
      </c>
      <c r="BH16" s="105">
        <v>83842</v>
      </c>
      <c r="BI16" s="105">
        <v>56875</v>
      </c>
      <c r="BJ16" s="107">
        <v>1944940</v>
      </c>
      <c r="BK16" s="13"/>
      <c r="BL16" s="105">
        <v>92455</v>
      </c>
      <c r="BM16" s="105">
        <v>62060</v>
      </c>
      <c r="BN16" s="105">
        <v>43969</v>
      </c>
      <c r="BO16" s="107">
        <v>1944940</v>
      </c>
    </row>
    <row r="17" spans="2:67" x14ac:dyDescent="0.25">
      <c r="B17" s="13"/>
      <c r="G17" s="13"/>
      <c r="L17" s="13"/>
      <c r="M17" s="13"/>
      <c r="N17" s="13"/>
      <c r="O17" s="13"/>
      <c r="P17" s="13"/>
      <c r="Q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20" t="s">
        <v>133</v>
      </c>
      <c r="BB17" s="105">
        <v>1337722</v>
      </c>
      <c r="BC17" s="105">
        <v>235453</v>
      </c>
      <c r="BD17" s="105">
        <v>110909</v>
      </c>
      <c r="BE17" s="105">
        <v>2169616</v>
      </c>
      <c r="BF17" s="13"/>
      <c r="BG17" s="105">
        <v>925675</v>
      </c>
      <c r="BH17" s="105">
        <v>164893</v>
      </c>
      <c r="BI17" s="105">
        <v>76101</v>
      </c>
      <c r="BJ17" s="105">
        <v>2169616</v>
      </c>
      <c r="BK17" s="13"/>
      <c r="BL17" s="105">
        <v>716398</v>
      </c>
      <c r="BM17" s="105">
        <v>132718</v>
      </c>
      <c r="BN17" s="105">
        <v>74944</v>
      </c>
      <c r="BO17" s="105">
        <v>2169616</v>
      </c>
    </row>
    <row r="18" spans="2:67" x14ac:dyDescent="0.25">
      <c r="B18" s="13"/>
      <c r="G18" s="13"/>
      <c r="L18" s="13"/>
      <c r="M18" s="13"/>
      <c r="N18" s="13"/>
      <c r="O18" s="13"/>
      <c r="P18" s="13"/>
      <c r="Q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20" t="s">
        <v>130</v>
      </c>
      <c r="BB18" s="105">
        <v>5997470</v>
      </c>
      <c r="BC18" s="105">
        <v>2208381</v>
      </c>
      <c r="BD18" s="105">
        <v>1295639</v>
      </c>
      <c r="BE18" s="107">
        <v>14002290</v>
      </c>
      <c r="BF18" s="13"/>
      <c r="BG18" s="105">
        <v>4451191</v>
      </c>
      <c r="BH18" s="105">
        <v>1700695</v>
      </c>
      <c r="BI18" s="105">
        <v>1024329</v>
      </c>
      <c r="BJ18" s="107">
        <v>14002290</v>
      </c>
      <c r="BK18" s="13"/>
      <c r="BL18" s="105">
        <v>3010804</v>
      </c>
      <c r="BM18" s="105">
        <v>1104102</v>
      </c>
      <c r="BN18" s="105">
        <v>656155</v>
      </c>
      <c r="BO18" s="107">
        <v>14002290</v>
      </c>
    </row>
    <row r="19" spans="2:67" x14ac:dyDescent="0.25">
      <c r="B19" s="13"/>
      <c r="G19" s="13"/>
      <c r="L19" s="13"/>
      <c r="M19" s="13"/>
      <c r="N19" s="13"/>
      <c r="O19" s="13"/>
      <c r="P19" s="13"/>
      <c r="Q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20" t="s">
        <v>132</v>
      </c>
      <c r="BB19" s="105">
        <v>18017593</v>
      </c>
      <c r="BC19" s="105">
        <v>899208</v>
      </c>
      <c r="BD19" s="105">
        <v>864579</v>
      </c>
      <c r="BE19" s="107">
        <v>3111539</v>
      </c>
      <c r="BF19" s="13"/>
      <c r="BG19" s="105">
        <v>13301459</v>
      </c>
      <c r="BH19" s="105">
        <v>747154</v>
      </c>
      <c r="BI19" s="105">
        <v>721007</v>
      </c>
      <c r="BJ19" s="107">
        <v>3111539</v>
      </c>
      <c r="BK19" s="13"/>
      <c r="BL19" s="105">
        <v>8993554</v>
      </c>
      <c r="BM19" s="105">
        <v>595731</v>
      </c>
      <c r="BN19" s="105">
        <v>578520</v>
      </c>
      <c r="BO19" s="107">
        <v>3111539</v>
      </c>
    </row>
    <row r="20" spans="2:67" x14ac:dyDescent="0.25">
      <c r="B20" s="13"/>
      <c r="G20" s="13"/>
      <c r="L20" s="13"/>
      <c r="M20" s="13"/>
      <c r="N20" s="13"/>
      <c r="O20" s="13"/>
      <c r="P20" s="13"/>
      <c r="Q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20" t="s">
        <v>135</v>
      </c>
      <c r="BB20" s="105">
        <v>492583</v>
      </c>
      <c r="BC20" s="105">
        <v>45283</v>
      </c>
      <c r="BD20" s="105">
        <v>26837</v>
      </c>
      <c r="BE20" s="105">
        <v>183519</v>
      </c>
      <c r="BF20" s="13"/>
      <c r="BG20" s="105">
        <v>374979</v>
      </c>
      <c r="BH20" s="105">
        <v>71552</v>
      </c>
      <c r="BI20" s="105">
        <v>59678</v>
      </c>
      <c r="BJ20" s="105">
        <v>183519</v>
      </c>
      <c r="BK20" s="13"/>
      <c r="BL20" s="105">
        <v>235207</v>
      </c>
      <c r="BM20" s="105">
        <v>33659</v>
      </c>
      <c r="BN20" s="105">
        <v>26904</v>
      </c>
      <c r="BO20" s="105">
        <v>183519</v>
      </c>
    </row>
    <row r="21" spans="2:67" x14ac:dyDescent="0.25">
      <c r="B21" s="13"/>
      <c r="G21" s="13"/>
      <c r="L21" s="13"/>
      <c r="M21" s="13"/>
      <c r="N21" s="13"/>
      <c r="O21" s="13"/>
      <c r="P21" s="13"/>
      <c r="Q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25" t="s">
        <v>134</v>
      </c>
      <c r="BB21" s="112">
        <v>310212</v>
      </c>
      <c r="BC21" s="112">
        <v>17485</v>
      </c>
      <c r="BD21" s="112">
        <v>10816</v>
      </c>
      <c r="BE21" s="112">
        <v>170774</v>
      </c>
      <c r="BF21" s="13"/>
      <c r="BG21" s="112">
        <v>233119</v>
      </c>
      <c r="BH21" s="112">
        <v>14099</v>
      </c>
      <c r="BI21" s="112">
        <v>7486</v>
      </c>
      <c r="BJ21" s="112">
        <v>170774</v>
      </c>
      <c r="BK21" s="13"/>
      <c r="BL21" s="112">
        <v>165982</v>
      </c>
      <c r="BM21" s="112">
        <v>6191</v>
      </c>
      <c r="BN21" s="112">
        <v>1763</v>
      </c>
      <c r="BO21" s="112">
        <v>170774</v>
      </c>
    </row>
    <row r="22" spans="2:67" x14ac:dyDescent="0.25">
      <c r="B22" s="13"/>
      <c r="G22" s="13"/>
      <c r="L22" s="13"/>
      <c r="M22" s="13"/>
      <c r="N22" s="13"/>
      <c r="O22" s="13"/>
      <c r="P22" s="13"/>
      <c r="Q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</row>
    <row r="23" spans="2:67" x14ac:dyDescent="0.25">
      <c r="B23" s="13"/>
      <c r="G23" s="13"/>
      <c r="L23" s="13"/>
      <c r="M23" s="13"/>
      <c r="N23" s="13"/>
      <c r="O23" s="13"/>
      <c r="P23" s="13"/>
      <c r="Q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</row>
    <row r="24" spans="2:67" x14ac:dyDescent="0.25">
      <c r="B24" s="13"/>
      <c r="G24" s="13"/>
      <c r="L24" s="13"/>
      <c r="M24" s="13"/>
      <c r="N24" s="13"/>
      <c r="O24" s="13"/>
      <c r="P24" s="13"/>
      <c r="Q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</row>
    <row r="25" spans="2:67" ht="38.25" x14ac:dyDescent="0.25">
      <c r="B25" s="13"/>
      <c r="G25" s="13"/>
      <c r="L25" s="13"/>
      <c r="M25" s="13"/>
      <c r="N25" s="13"/>
      <c r="O25" s="13"/>
      <c r="P25" s="13"/>
      <c r="Q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10" t="s">
        <v>86</v>
      </c>
      <c r="BB25" s="111" t="s">
        <v>170</v>
      </c>
      <c r="BC25" s="111" t="s">
        <v>171</v>
      </c>
      <c r="BD25" s="111" t="s">
        <v>172</v>
      </c>
      <c r="BE25" s="111" t="s">
        <v>119</v>
      </c>
      <c r="BF25" s="13"/>
      <c r="BG25" s="111" t="s">
        <v>173</v>
      </c>
      <c r="BH25" s="111" t="s">
        <v>174</v>
      </c>
      <c r="BI25" s="111" t="s">
        <v>175</v>
      </c>
      <c r="BJ25" s="111" t="s">
        <v>123</v>
      </c>
      <c r="BK25" s="13"/>
      <c r="BL25" s="111" t="s">
        <v>176</v>
      </c>
      <c r="BM25" s="111" t="s">
        <v>177</v>
      </c>
      <c r="BN25" s="111" t="s">
        <v>178</v>
      </c>
      <c r="BO25" s="111" t="s">
        <v>127</v>
      </c>
    </row>
    <row r="26" spans="2:67" x14ac:dyDescent="0.25">
      <c r="B26" s="13"/>
      <c r="G26" s="13"/>
      <c r="L26" s="13"/>
      <c r="M26" s="13"/>
      <c r="N26" s="13"/>
      <c r="O26" s="13"/>
      <c r="P26" s="13"/>
      <c r="Q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4" t="s">
        <v>128</v>
      </c>
      <c r="BB26" s="106">
        <v>323181</v>
      </c>
      <c r="BC26" s="106">
        <v>14932</v>
      </c>
      <c r="BD26" s="106">
        <v>-12176</v>
      </c>
      <c r="BE26" s="106">
        <v>1742510</v>
      </c>
      <c r="BF26" s="13"/>
      <c r="BG26" s="106">
        <v>341431</v>
      </c>
      <c r="BH26" s="106">
        <v>55306</v>
      </c>
      <c r="BI26" s="106">
        <v>29132</v>
      </c>
      <c r="BJ26" s="106">
        <v>1666780</v>
      </c>
      <c r="BK26" s="13"/>
      <c r="BL26" s="106">
        <v>281247</v>
      </c>
      <c r="BM26" s="106">
        <v>8471</v>
      </c>
      <c r="BN26" s="106">
        <v>-16826</v>
      </c>
      <c r="BO26" s="106">
        <v>1640587</v>
      </c>
    </row>
    <row r="27" spans="2:67" x14ac:dyDescent="0.25">
      <c r="B27" s="13"/>
      <c r="G27" s="13"/>
      <c r="L27" s="13"/>
      <c r="M27" s="13"/>
      <c r="N27" s="13"/>
      <c r="O27" s="13"/>
      <c r="P27" s="13"/>
      <c r="Q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20" t="s">
        <v>129</v>
      </c>
      <c r="BB27" s="105">
        <v>913384</v>
      </c>
      <c r="BC27" s="105">
        <v>51694</v>
      </c>
      <c r="BD27" s="105">
        <v>-34993</v>
      </c>
      <c r="BE27" s="107">
        <v>8393127</v>
      </c>
      <c r="BF27" s="13"/>
      <c r="BG27" s="105">
        <v>832114</v>
      </c>
      <c r="BH27" s="105">
        <v>73153</v>
      </c>
      <c r="BI27" s="105">
        <v>-43546</v>
      </c>
      <c r="BJ27" s="107">
        <v>7636136</v>
      </c>
      <c r="BK27" s="13"/>
      <c r="BL27" s="105">
        <v>716925</v>
      </c>
      <c r="BM27" s="105">
        <v>59507</v>
      </c>
      <c r="BN27" s="105">
        <v>-58572</v>
      </c>
      <c r="BO27" s="107">
        <v>7741435</v>
      </c>
    </row>
    <row r="28" spans="2:67" x14ac:dyDescent="0.25">
      <c r="B28" s="13"/>
      <c r="G28" s="13"/>
      <c r="L28" s="13"/>
      <c r="M28" s="13"/>
      <c r="N28" s="13"/>
      <c r="O28" s="13"/>
      <c r="P28" s="13"/>
      <c r="Q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20" t="s">
        <v>131</v>
      </c>
      <c r="BB28" s="105">
        <v>65019</v>
      </c>
      <c r="BC28" s="105">
        <v>37748</v>
      </c>
      <c r="BD28" s="105">
        <v>20234</v>
      </c>
      <c r="BE28" s="107">
        <v>1985920</v>
      </c>
      <c r="BF28" s="13"/>
      <c r="BG28" s="105">
        <v>71079</v>
      </c>
      <c r="BH28" s="105">
        <v>45702</v>
      </c>
      <c r="BI28" s="105">
        <v>25694</v>
      </c>
      <c r="BJ28" s="107">
        <v>1929270</v>
      </c>
      <c r="BK28" s="13"/>
      <c r="BL28" s="105">
        <v>64784</v>
      </c>
      <c r="BM28" s="105">
        <v>40730</v>
      </c>
      <c r="BN28" s="105">
        <v>20707</v>
      </c>
      <c r="BO28" s="107">
        <v>1929486</v>
      </c>
    </row>
    <row r="29" spans="2:67" x14ac:dyDescent="0.25">
      <c r="B29" s="13"/>
      <c r="G29" s="13"/>
      <c r="L29" s="13"/>
      <c r="M29" s="13"/>
      <c r="N29" s="13"/>
      <c r="O29" s="13"/>
      <c r="P29" s="13"/>
      <c r="Q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20" t="s">
        <v>133</v>
      </c>
      <c r="BB29" s="105">
        <v>388456</v>
      </c>
      <c r="BC29" s="105">
        <v>126605</v>
      </c>
      <c r="BD29" s="105">
        <v>87607</v>
      </c>
      <c r="BE29" s="105">
        <v>2781001</v>
      </c>
      <c r="BF29" s="13"/>
      <c r="BG29" s="105">
        <v>249121</v>
      </c>
      <c r="BH29" s="105">
        <v>16576</v>
      </c>
      <c r="BI29" s="105">
        <v>-21324</v>
      </c>
      <c r="BJ29" s="105">
        <v>3101958</v>
      </c>
      <c r="BK29" s="13"/>
      <c r="BL29" s="105">
        <v>291077</v>
      </c>
      <c r="BM29" s="105">
        <v>36257</v>
      </c>
      <c r="BN29" s="105">
        <v>-325</v>
      </c>
      <c r="BO29" s="105">
        <v>2962505</v>
      </c>
    </row>
    <row r="30" spans="2:67" x14ac:dyDescent="0.25">
      <c r="B30" s="13"/>
      <c r="G30" s="13"/>
      <c r="L30" s="13"/>
      <c r="M30" s="13"/>
      <c r="N30" s="13"/>
      <c r="O30" s="13"/>
      <c r="P30" s="13"/>
      <c r="Q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20" t="s">
        <v>130</v>
      </c>
      <c r="BB30" s="105">
        <v>1545835</v>
      </c>
      <c r="BC30" s="105">
        <v>379296</v>
      </c>
      <c r="BD30" s="105">
        <v>138507</v>
      </c>
      <c r="BE30" s="107">
        <v>15012125</v>
      </c>
      <c r="BF30" s="13"/>
      <c r="BG30" s="105">
        <v>1479860</v>
      </c>
      <c r="BH30" s="105">
        <v>608152</v>
      </c>
      <c r="BI30" s="105">
        <v>370825</v>
      </c>
      <c r="BJ30" s="107">
        <v>14581007</v>
      </c>
      <c r="BK30" s="13"/>
      <c r="BL30" s="105">
        <v>1490614</v>
      </c>
      <c r="BM30" s="105">
        <v>612000</v>
      </c>
      <c r="BN30" s="105">
        <v>376007</v>
      </c>
      <c r="BO30" s="107">
        <v>14377042</v>
      </c>
    </row>
    <row r="31" spans="2:67" x14ac:dyDescent="0.25">
      <c r="B31" s="13"/>
      <c r="G31" s="13"/>
      <c r="L31" s="13"/>
      <c r="M31" s="13"/>
      <c r="N31" s="13"/>
      <c r="O31" s="13"/>
      <c r="P31" s="13"/>
      <c r="Q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20" t="s">
        <v>132</v>
      </c>
      <c r="BB31" s="105">
        <v>4010459</v>
      </c>
      <c r="BC31" s="105">
        <v>106749</v>
      </c>
      <c r="BD31" s="105">
        <v>103508</v>
      </c>
      <c r="BE31" s="107">
        <v>3715551</v>
      </c>
      <c r="BF31" s="13"/>
      <c r="BG31" s="105">
        <v>3691883</v>
      </c>
      <c r="BH31" s="105">
        <v>109830</v>
      </c>
      <c r="BI31" s="105">
        <v>105291</v>
      </c>
      <c r="BJ31" s="107">
        <v>2413083</v>
      </c>
      <c r="BK31" s="13"/>
      <c r="BL31" s="105">
        <v>3479108</v>
      </c>
      <c r="BM31" s="105">
        <v>153290</v>
      </c>
      <c r="BN31" s="105">
        <v>144543</v>
      </c>
      <c r="BO31" s="107">
        <v>2040729</v>
      </c>
    </row>
    <row r="32" spans="2:67" x14ac:dyDescent="0.25">
      <c r="B32" s="13"/>
      <c r="G32" s="13"/>
      <c r="L32" s="13"/>
      <c r="M32" s="13"/>
      <c r="N32" s="13"/>
      <c r="O32" s="13"/>
      <c r="P32" s="13"/>
      <c r="Q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20" t="s">
        <v>135</v>
      </c>
      <c r="BB32" s="105">
        <v>153870</v>
      </c>
      <c r="BC32" s="105">
        <v>-2388</v>
      </c>
      <c r="BD32" s="105">
        <v>-15091</v>
      </c>
      <c r="BE32" s="105">
        <v>267663</v>
      </c>
      <c r="BF32" s="13"/>
      <c r="BG32" s="105">
        <v>155387</v>
      </c>
      <c r="BH32" s="105">
        <v>31201</v>
      </c>
      <c r="BI32" s="105">
        <v>19345</v>
      </c>
      <c r="BJ32" s="105">
        <v>230454</v>
      </c>
      <c r="BK32" s="13"/>
      <c r="BL32" s="105">
        <v>138236</v>
      </c>
      <c r="BM32" s="105">
        <v>15822</v>
      </c>
      <c r="BN32" s="105">
        <v>5885</v>
      </c>
      <c r="BO32" s="105">
        <v>222294</v>
      </c>
    </row>
    <row r="33" spans="2:67" x14ac:dyDescent="0.25">
      <c r="B33" s="13"/>
      <c r="G33" s="13"/>
      <c r="L33" s="13"/>
      <c r="M33" s="13"/>
      <c r="N33" s="13"/>
      <c r="O33" s="13"/>
      <c r="P33" s="13"/>
      <c r="Q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25" t="s">
        <v>134</v>
      </c>
      <c r="BB33" s="112">
        <v>57229</v>
      </c>
      <c r="BC33" s="112">
        <v>-838</v>
      </c>
      <c r="BD33" s="112">
        <v>-2417</v>
      </c>
      <c r="BE33" s="112">
        <v>191933</v>
      </c>
      <c r="BF33" s="13"/>
      <c r="BG33" s="112">
        <v>78754</v>
      </c>
      <c r="BH33" s="112">
        <v>11110</v>
      </c>
      <c r="BI33" s="112">
        <v>9389</v>
      </c>
      <c r="BJ33" s="112">
        <v>160564</v>
      </c>
      <c r="BK33" s="13"/>
      <c r="BL33" s="112">
        <v>57784</v>
      </c>
      <c r="BM33" s="112">
        <v>6878</v>
      </c>
      <c r="BN33" s="112">
        <v>5166</v>
      </c>
      <c r="BO33" s="112">
        <v>182892</v>
      </c>
    </row>
    <row r="34" spans="2:67" x14ac:dyDescent="0.25">
      <c r="B34" s="13"/>
      <c r="G34" s="13"/>
      <c r="L34" s="13"/>
      <c r="M34" s="13"/>
      <c r="N34" s="13"/>
      <c r="O34" s="13"/>
      <c r="P34" s="13"/>
      <c r="Q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</row>
    <row r="35" spans="2:67" x14ac:dyDescent="0.25">
      <c r="B35" s="13"/>
      <c r="G35" s="13"/>
      <c r="L35" s="13"/>
      <c r="M35" s="13"/>
      <c r="N35" s="13"/>
      <c r="O35" s="13"/>
      <c r="P35" s="13"/>
      <c r="Q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</row>
    <row r="36" spans="2:67" x14ac:dyDescent="0.25">
      <c r="B36" s="13"/>
      <c r="G36" s="13"/>
      <c r="L36" s="13"/>
      <c r="M36" s="13"/>
      <c r="N36" s="13"/>
      <c r="O36" s="13"/>
      <c r="P36" s="13"/>
      <c r="Q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</row>
    <row r="37" spans="2:67" ht="38.25" x14ac:dyDescent="0.25">
      <c r="B37" s="13"/>
      <c r="G37" s="13"/>
      <c r="L37" s="13"/>
      <c r="M37" s="13"/>
      <c r="N37" s="13"/>
      <c r="O37" s="13"/>
      <c r="P37" s="13"/>
      <c r="Q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10" t="s">
        <v>86</v>
      </c>
      <c r="BB37" s="111" t="s">
        <v>179</v>
      </c>
      <c r="BC37" s="111" t="s">
        <v>180</v>
      </c>
      <c r="BD37" s="111" t="s">
        <v>181</v>
      </c>
      <c r="BE37" s="111" t="s">
        <v>161</v>
      </c>
      <c r="BF37" s="13"/>
      <c r="BG37" s="111" t="s">
        <v>182</v>
      </c>
      <c r="BH37" s="111" t="s">
        <v>183</v>
      </c>
      <c r="BI37" s="111" t="s">
        <v>184</v>
      </c>
      <c r="BJ37" s="111" t="s">
        <v>165</v>
      </c>
      <c r="BK37" s="13"/>
      <c r="BL37" s="111" t="s">
        <v>185</v>
      </c>
      <c r="BM37" s="111" t="s">
        <v>186</v>
      </c>
      <c r="BN37" s="111" t="s">
        <v>187</v>
      </c>
      <c r="BO37" s="111" t="s">
        <v>169</v>
      </c>
    </row>
    <row r="38" spans="2:67" x14ac:dyDescent="0.25">
      <c r="B38" s="13"/>
      <c r="G38" s="13"/>
      <c r="L38" s="13"/>
      <c r="M38" s="13"/>
      <c r="N38" s="13"/>
      <c r="O38" s="13"/>
      <c r="P38" s="13"/>
      <c r="Q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4" t="s">
        <v>128</v>
      </c>
      <c r="BB38" s="106">
        <v>304936</v>
      </c>
      <c r="BC38" s="106">
        <v>-2231</v>
      </c>
      <c r="BD38" s="106">
        <v>-23008</v>
      </c>
      <c r="BE38" s="106">
        <v>1465831</v>
      </c>
      <c r="BF38" s="13"/>
      <c r="BG38" s="106">
        <v>344248</v>
      </c>
      <c r="BH38" s="106">
        <v>30610</v>
      </c>
      <c r="BI38" s="106">
        <v>4342</v>
      </c>
      <c r="BJ38" s="106">
        <v>1465831</v>
      </c>
      <c r="BK38" s="13"/>
      <c r="BL38" s="106">
        <v>375593</v>
      </c>
      <c r="BM38" s="106">
        <v>64483</v>
      </c>
      <c r="BN38" s="106">
        <v>38486</v>
      </c>
      <c r="BO38" s="106">
        <v>1465831</v>
      </c>
    </row>
    <row r="39" spans="2:67" x14ac:dyDescent="0.25">
      <c r="B39" s="13"/>
      <c r="G39" s="13"/>
      <c r="L39" s="13"/>
      <c r="M39" s="13"/>
      <c r="N39" s="13"/>
      <c r="O39" s="13"/>
      <c r="P39" s="13"/>
      <c r="Q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20" t="s">
        <v>129</v>
      </c>
      <c r="BB39" s="105">
        <v>1234695</v>
      </c>
      <c r="BC39" s="105">
        <v>-88343</v>
      </c>
      <c r="BD39" s="105">
        <v>-204787</v>
      </c>
      <c r="BE39" s="107">
        <v>8646833</v>
      </c>
      <c r="BF39" s="13"/>
      <c r="BG39" s="105">
        <v>1069434</v>
      </c>
      <c r="BH39" s="105">
        <v>89056</v>
      </c>
      <c r="BI39" s="105">
        <v>-23575</v>
      </c>
      <c r="BJ39" s="107">
        <v>8646833</v>
      </c>
      <c r="BK39" s="13"/>
      <c r="BL39" s="105">
        <v>1063065</v>
      </c>
      <c r="BM39" s="105">
        <v>-129465</v>
      </c>
      <c r="BN39" s="105">
        <v>-258674</v>
      </c>
      <c r="BO39" s="107">
        <v>8646833</v>
      </c>
    </row>
    <row r="40" spans="2:67" x14ac:dyDescent="0.25">
      <c r="B40" s="13"/>
      <c r="G40" s="13"/>
      <c r="L40" s="13"/>
      <c r="M40" s="13"/>
      <c r="N40" s="13"/>
      <c r="O40" s="13"/>
      <c r="P40" s="13"/>
      <c r="Q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20" t="s">
        <v>131</v>
      </c>
      <c r="BB40" s="105">
        <v>75595</v>
      </c>
      <c r="BC40" s="105">
        <v>51721</v>
      </c>
      <c r="BD40" s="105">
        <v>36103</v>
      </c>
      <c r="BE40" s="107">
        <v>1944940</v>
      </c>
      <c r="BF40" s="13"/>
      <c r="BG40" s="105">
        <v>36445</v>
      </c>
      <c r="BH40" s="105">
        <v>21782</v>
      </c>
      <c r="BI40" s="105">
        <v>12906</v>
      </c>
      <c r="BJ40" s="107">
        <v>1944940</v>
      </c>
      <c r="BK40" s="13"/>
      <c r="BL40" s="105">
        <v>50919</v>
      </c>
      <c r="BM40" s="105">
        <v>34878</v>
      </c>
      <c r="BN40" s="105">
        <v>25991</v>
      </c>
      <c r="BO40" s="107">
        <v>1944940</v>
      </c>
    </row>
    <row r="41" spans="2:67" x14ac:dyDescent="0.25">
      <c r="B41" s="13"/>
      <c r="G41" s="13"/>
      <c r="L41" s="13"/>
      <c r="M41" s="13"/>
      <c r="N41" s="13"/>
      <c r="O41" s="13"/>
      <c r="P41" s="13"/>
      <c r="Q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20" t="s">
        <v>133</v>
      </c>
      <c r="BB41" s="105">
        <v>412047</v>
      </c>
      <c r="BC41" s="105">
        <v>70560</v>
      </c>
      <c r="BD41" s="105">
        <v>34808</v>
      </c>
      <c r="BE41" s="105">
        <v>2169616</v>
      </c>
      <c r="BF41" s="13"/>
      <c r="BG41" s="105">
        <v>242199</v>
      </c>
      <c r="BH41" s="105">
        <v>32175</v>
      </c>
      <c r="BI41" s="105">
        <v>1157</v>
      </c>
      <c r="BJ41" s="105">
        <v>2169616</v>
      </c>
      <c r="BK41" s="13"/>
      <c r="BL41" s="105">
        <v>261695</v>
      </c>
      <c r="BM41" s="105">
        <v>27278</v>
      </c>
      <c r="BN41" s="105">
        <v>-1712</v>
      </c>
      <c r="BO41" s="105">
        <v>2169616</v>
      </c>
    </row>
    <row r="42" spans="2:67" x14ac:dyDescent="0.25">
      <c r="B42" s="13"/>
      <c r="G42" s="13"/>
      <c r="L42" s="13"/>
      <c r="M42" s="13"/>
      <c r="N42" s="13"/>
      <c r="O42" s="13"/>
      <c r="P42" s="13"/>
      <c r="Q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20" t="s">
        <v>130</v>
      </c>
      <c r="BB42" s="105">
        <v>1546279</v>
      </c>
      <c r="BC42" s="105">
        <v>507686</v>
      </c>
      <c r="BD42" s="105">
        <v>271310</v>
      </c>
      <c r="BE42" s="107">
        <v>14002290</v>
      </c>
      <c r="BF42" s="13"/>
      <c r="BG42" s="105">
        <v>1440387</v>
      </c>
      <c r="BH42" s="105">
        <v>596593</v>
      </c>
      <c r="BI42" s="105">
        <v>368174</v>
      </c>
      <c r="BJ42" s="107">
        <v>14002290</v>
      </c>
      <c r="BK42" s="13"/>
      <c r="BL42" s="105">
        <v>1469113</v>
      </c>
      <c r="BM42" s="105">
        <v>577973</v>
      </c>
      <c r="BN42" s="105">
        <v>354207</v>
      </c>
      <c r="BO42" s="107">
        <v>14002290</v>
      </c>
    </row>
    <row r="43" spans="2:67" x14ac:dyDescent="0.25">
      <c r="B43" s="13"/>
      <c r="G43" s="13"/>
      <c r="L43" s="13"/>
      <c r="M43" s="13"/>
      <c r="N43" s="13"/>
      <c r="O43" s="13"/>
      <c r="P43" s="13"/>
      <c r="Q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20" t="s">
        <v>132</v>
      </c>
      <c r="BB43" s="105">
        <v>4716134</v>
      </c>
      <c r="BC43" s="105">
        <v>152054</v>
      </c>
      <c r="BD43" s="105">
        <v>143572</v>
      </c>
      <c r="BE43" s="107">
        <v>3111539</v>
      </c>
      <c r="BF43" s="13"/>
      <c r="BG43" s="105">
        <v>4307905</v>
      </c>
      <c r="BH43" s="105">
        <v>151423</v>
      </c>
      <c r="BI43" s="105">
        <v>142487</v>
      </c>
      <c r="BJ43" s="107">
        <v>3111539</v>
      </c>
      <c r="BK43" s="13"/>
      <c r="BL43" s="105">
        <v>4202695</v>
      </c>
      <c r="BM43" s="105">
        <v>247856</v>
      </c>
      <c r="BN43" s="105">
        <v>239409</v>
      </c>
      <c r="BO43" s="107">
        <v>3111539</v>
      </c>
    </row>
    <row r="44" spans="2:67" x14ac:dyDescent="0.25">
      <c r="B44" s="13"/>
      <c r="G44" s="13"/>
      <c r="L44" s="13"/>
      <c r="M44" s="13"/>
      <c r="N44" s="13"/>
      <c r="O44" s="13"/>
      <c r="P44" s="13"/>
      <c r="Q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20" t="s">
        <v>135</v>
      </c>
      <c r="BB44" s="105">
        <v>117604</v>
      </c>
      <c r="BC44" s="105">
        <v>-26269</v>
      </c>
      <c r="BD44" s="105">
        <v>-32841</v>
      </c>
      <c r="BE44" s="105">
        <v>183519</v>
      </c>
      <c r="BF44" s="13"/>
      <c r="BG44" s="105">
        <v>139772</v>
      </c>
      <c r="BH44" s="105">
        <v>37893</v>
      </c>
      <c r="BI44" s="105">
        <v>32774</v>
      </c>
      <c r="BJ44" s="105">
        <v>183519</v>
      </c>
      <c r="BK44" s="13"/>
      <c r="BL44" s="105">
        <v>131113</v>
      </c>
      <c r="BM44" s="105">
        <v>21556</v>
      </c>
      <c r="BN44" s="105">
        <v>17918</v>
      </c>
      <c r="BO44" s="105">
        <v>183519</v>
      </c>
    </row>
    <row r="45" spans="2:67" x14ac:dyDescent="0.25">
      <c r="B45" s="13"/>
      <c r="G45" s="13"/>
      <c r="L45" s="13"/>
      <c r="M45" s="13"/>
      <c r="N45" s="13"/>
      <c r="O45" s="13"/>
      <c r="P45" s="13"/>
      <c r="Q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25" t="s">
        <v>134</v>
      </c>
      <c r="BB45" s="112">
        <v>77093</v>
      </c>
      <c r="BC45" s="112">
        <v>3386</v>
      </c>
      <c r="BD45" s="112">
        <v>3330</v>
      </c>
      <c r="BE45" s="112">
        <v>170774</v>
      </c>
      <c r="BF45" s="13"/>
      <c r="BG45" s="112">
        <v>67137</v>
      </c>
      <c r="BH45" s="112">
        <v>7908</v>
      </c>
      <c r="BI45" s="112">
        <v>5723</v>
      </c>
      <c r="BJ45" s="112">
        <v>170774</v>
      </c>
      <c r="BK45" s="13"/>
      <c r="BL45" s="112">
        <v>62475</v>
      </c>
      <c r="BM45" s="112">
        <v>3861</v>
      </c>
      <c r="BN45" s="112">
        <v>1662</v>
      </c>
      <c r="BO45" s="112">
        <v>170774</v>
      </c>
    </row>
    <row r="46" spans="2:67" x14ac:dyDescent="0.25">
      <c r="B46" s="13"/>
      <c r="G46" s="13"/>
      <c r="L46" s="13"/>
      <c r="M46" s="13"/>
      <c r="N46" s="13"/>
      <c r="O46" s="13"/>
      <c r="P46" s="13"/>
      <c r="Q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</row>
  </sheetData>
  <customSheetViews>
    <customSheetView guid="{627AEB6E-B9F1-415E-9A60-881757A50C67}">
      <selection activeCell="C19" sqref="C19"/>
      <pageMargins left="0.7" right="0.7" top="0.75" bottom="0.75" header="0.3" footer="0.3"/>
    </customSheetView>
    <customSheetView guid="{AAA495E0-27FD-4941-85B8-9038B6AD4FA3}">
      <selection activeCell="A2" sqref="A2"/>
      <pageMargins left="0.7" right="0.7" top="0.75" bottom="0.75" header="0.3" footer="0.3"/>
    </customSheetView>
    <customSheetView guid="{874BA5F8-BD95-4DDF-8F31-98DB154CA965}">
      <selection activeCell="A2" sqref="A2"/>
      <pageMargins left="0.7" right="0.7" top="0.75" bottom="0.75" header="0.3" footer="0.3"/>
    </customSheetView>
    <customSheetView guid="{77EFF5B1-32BE-4080-9902-B97F43099026}">
      <selection activeCell="C19" sqref="C1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R23"/>
  <sheetViews>
    <sheetView workbookViewId="0">
      <selection activeCell="A14" sqref="A14"/>
    </sheetView>
  </sheetViews>
  <sheetFormatPr defaultRowHeight="15" x14ac:dyDescent="0.25"/>
  <cols>
    <col min="1" max="1" width="31.85546875" style="12" bestFit="1" customWidth="1"/>
    <col min="2" max="2" width="3.7109375" style="12" customWidth="1"/>
    <col min="3" max="3" width="15.7109375" style="379" customWidth="1"/>
    <col min="4" max="4" width="15.7109375" style="12" customWidth="1"/>
    <col min="5" max="5" width="3.7109375" style="12" customWidth="1"/>
    <col min="6" max="7" width="15.7109375" style="12" customWidth="1"/>
    <col min="8" max="8" width="5.85546875" style="12" customWidth="1"/>
    <col min="9" max="9" width="15" style="379" customWidth="1"/>
    <col min="10" max="10" width="14" style="12" customWidth="1"/>
    <col min="11" max="11" width="3.7109375" style="12" customWidth="1"/>
    <col min="12" max="12" width="12.5703125" style="12" customWidth="1"/>
    <col min="13" max="13" width="9.7109375" style="12" bestFit="1" customWidth="1"/>
    <col min="14" max="14" width="3.7109375" style="12" customWidth="1"/>
    <col min="15" max="15" width="14.140625" style="12" customWidth="1"/>
    <col min="16" max="16" width="15.42578125" style="12" customWidth="1"/>
    <col min="17" max="17" width="3.7109375" style="12" customWidth="1"/>
    <col min="18" max="19" width="18.140625" style="12" customWidth="1"/>
    <col min="20" max="20" width="3.7109375" style="12" customWidth="1"/>
    <col min="21" max="22" width="16" style="12" customWidth="1"/>
    <col min="23" max="23" width="3.7109375" style="12" customWidth="1"/>
    <col min="24" max="25" width="16.85546875" style="12" customWidth="1"/>
    <col min="26" max="26" width="3.7109375" style="12" customWidth="1"/>
    <col min="27" max="28" width="16.42578125" style="12" customWidth="1"/>
    <col min="29" max="29" width="3.7109375" style="12" customWidth="1"/>
    <col min="30" max="31" width="16.28515625" style="12" customWidth="1"/>
    <col min="32" max="32" width="3.7109375" style="12" customWidth="1"/>
    <col min="33" max="33" width="31.85546875" style="12" bestFit="1" customWidth="1"/>
    <col min="34" max="35" width="13" style="12" customWidth="1"/>
    <col min="36" max="36" width="3.7109375" style="12" customWidth="1"/>
    <col min="37" max="38" width="12.42578125" style="12" customWidth="1"/>
    <col min="39" max="39" width="3.7109375" style="12" customWidth="1"/>
    <col min="40" max="41" width="12.7109375" style="12" customWidth="1"/>
    <col min="42" max="42" width="3.7109375" style="12" customWidth="1"/>
    <col min="43" max="44" width="12.140625" style="12" customWidth="1"/>
    <col min="45" max="16384" width="9.140625" style="12"/>
  </cols>
  <sheetData>
    <row r="1" spans="1:44" ht="20.25" x14ac:dyDescent="0.25">
      <c r="A1" s="1" t="s">
        <v>188</v>
      </c>
      <c r="B1" s="98"/>
      <c r="C1" s="378"/>
      <c r="D1" s="2"/>
      <c r="E1" s="98"/>
      <c r="F1" s="2"/>
      <c r="G1" s="2"/>
      <c r="H1" s="98"/>
      <c r="I1" s="378"/>
      <c r="J1" s="2"/>
      <c r="K1" s="98"/>
      <c r="L1" s="2"/>
      <c r="M1" s="2"/>
      <c r="N1" s="98"/>
      <c r="O1" s="2"/>
      <c r="P1" s="2"/>
      <c r="Q1" s="98"/>
      <c r="R1" s="2"/>
      <c r="S1" s="2"/>
      <c r="T1" s="7"/>
      <c r="U1" s="2"/>
      <c r="V1" s="2"/>
      <c r="W1" s="7"/>
      <c r="X1" s="2"/>
      <c r="Y1" s="2"/>
      <c r="Z1" s="7"/>
      <c r="AA1" s="2"/>
      <c r="AB1" s="2"/>
      <c r="AC1" s="7"/>
      <c r="AD1" s="2"/>
      <c r="AE1" s="2"/>
      <c r="AF1" s="7"/>
      <c r="AG1" s="1" t="s">
        <v>188</v>
      </c>
      <c r="AH1" s="2"/>
      <c r="AI1" s="2"/>
      <c r="AJ1" s="7"/>
      <c r="AK1" s="3"/>
      <c r="AL1" s="3"/>
      <c r="AM1" s="7"/>
      <c r="AN1" s="7"/>
      <c r="AO1" s="7"/>
      <c r="AP1" s="7"/>
      <c r="AQ1" s="7"/>
      <c r="AR1" s="7"/>
    </row>
    <row r="2" spans="1:44" ht="20.25" x14ac:dyDescent="0.25">
      <c r="A2" s="98"/>
      <c r="B2" s="113"/>
      <c r="C2" s="114" t="s">
        <v>189</v>
      </c>
      <c r="D2" s="9"/>
      <c r="E2" s="113"/>
      <c r="F2" s="114" t="s">
        <v>190</v>
      </c>
      <c r="G2" s="9"/>
      <c r="H2" s="113"/>
      <c r="I2" s="10"/>
      <c r="J2" s="9"/>
      <c r="K2" s="113"/>
      <c r="L2" s="114" t="s">
        <v>189</v>
      </c>
      <c r="M2" s="115"/>
      <c r="N2" s="113"/>
      <c r="O2" s="114" t="s">
        <v>190</v>
      </c>
      <c r="P2" s="115"/>
      <c r="Q2" s="98"/>
      <c r="R2" s="380" t="s">
        <v>189</v>
      </c>
      <c r="S2" s="380"/>
      <c r="T2" s="7"/>
      <c r="U2" s="380" t="s">
        <v>190</v>
      </c>
      <c r="V2" s="380"/>
      <c r="W2" s="7"/>
      <c r="X2" s="380" t="s">
        <v>189</v>
      </c>
      <c r="Y2" s="380"/>
      <c r="Z2" s="7"/>
      <c r="AA2" s="380" t="s">
        <v>190</v>
      </c>
      <c r="AB2" s="380"/>
      <c r="AC2" s="7"/>
      <c r="AD2" s="9"/>
      <c r="AE2" s="9"/>
      <c r="AF2" s="7"/>
      <c r="AG2" s="98"/>
      <c r="AH2" s="3"/>
      <c r="AI2" s="3"/>
      <c r="AJ2" s="7"/>
      <c r="AK2" s="2"/>
      <c r="AL2" s="2"/>
      <c r="AM2" s="7"/>
      <c r="AN2" s="105"/>
      <c r="AO2" s="105"/>
      <c r="AP2" s="7"/>
    </row>
    <row r="3" spans="1:44" ht="25.5" x14ac:dyDescent="0.25">
      <c r="A3" s="116" t="s">
        <v>86</v>
      </c>
      <c r="B3" s="117"/>
      <c r="C3" s="10" t="s">
        <v>537</v>
      </c>
      <c r="D3" s="9" t="s">
        <v>546</v>
      </c>
      <c r="E3" s="117"/>
      <c r="F3" s="10" t="s">
        <v>535</v>
      </c>
      <c r="G3" s="9" t="s">
        <v>536</v>
      </c>
      <c r="H3" s="117"/>
      <c r="I3" s="10" t="s">
        <v>2</v>
      </c>
      <c r="J3" s="9" t="s">
        <v>3</v>
      </c>
      <c r="K3" s="117"/>
      <c r="L3" s="10" t="s">
        <v>4</v>
      </c>
      <c r="M3" s="9" t="s">
        <v>5</v>
      </c>
      <c r="N3" s="117"/>
      <c r="O3" s="10" t="s">
        <v>6</v>
      </c>
      <c r="P3" s="9" t="s">
        <v>7</v>
      </c>
      <c r="Q3" s="117"/>
      <c r="R3" s="9" t="s">
        <v>8</v>
      </c>
      <c r="S3" s="9" t="s">
        <v>9</v>
      </c>
      <c r="T3" s="13"/>
      <c r="U3" s="9" t="s">
        <v>10</v>
      </c>
      <c r="V3" s="9" t="s">
        <v>11</v>
      </c>
      <c r="W3" s="13"/>
      <c r="X3" s="9" t="s">
        <v>12</v>
      </c>
      <c r="Y3" s="9" t="s">
        <v>13</v>
      </c>
      <c r="Z3" s="13"/>
      <c r="AA3" s="9" t="s">
        <v>14</v>
      </c>
      <c r="AB3" s="9" t="s">
        <v>15</v>
      </c>
      <c r="AC3" s="13"/>
      <c r="AD3" s="9" t="s">
        <v>16</v>
      </c>
      <c r="AE3" s="9" t="s">
        <v>17</v>
      </c>
      <c r="AF3" s="13"/>
      <c r="AG3" s="116" t="s">
        <v>86</v>
      </c>
      <c r="AH3" s="111" t="s">
        <v>5</v>
      </c>
      <c r="AI3" s="111" t="s">
        <v>18</v>
      </c>
      <c r="AJ3" s="13"/>
      <c r="AK3" s="111" t="s">
        <v>191</v>
      </c>
      <c r="AL3" s="111" t="s">
        <v>192</v>
      </c>
      <c r="AM3" s="13"/>
      <c r="AN3" s="111" t="s">
        <v>193</v>
      </c>
      <c r="AO3" s="111" t="s">
        <v>194</v>
      </c>
      <c r="AP3" s="13"/>
      <c r="AQ3" s="111" t="s">
        <v>18</v>
      </c>
      <c r="AR3" s="111" t="s">
        <v>195</v>
      </c>
    </row>
    <row r="4" spans="1:44" x14ac:dyDescent="0.25">
      <c r="A4" s="118" t="s">
        <v>128</v>
      </c>
      <c r="B4" s="119"/>
      <c r="C4" s="120">
        <f>[1]Q2_2016!$C$192</f>
        <v>90654</v>
      </c>
      <c r="D4" s="106">
        <f>[1]Q2_2016!$D$192</f>
        <v>146245</v>
      </c>
      <c r="E4" s="119"/>
      <c r="F4" s="120">
        <f>[1]Q2_2016!$I$192</f>
        <v>27237</v>
      </c>
      <c r="G4" s="106">
        <f>[1]Q2_2016!$J$192</f>
        <v>86032</v>
      </c>
      <c r="H4" s="119"/>
      <c r="I4" s="120">
        <v>63417</v>
      </c>
      <c r="J4" s="106">
        <v>60213</v>
      </c>
      <c r="K4" s="119"/>
      <c r="L4" s="120">
        <v>211458</v>
      </c>
      <c r="M4" s="106">
        <v>188897</v>
      </c>
      <c r="N4" s="119"/>
      <c r="O4" s="120">
        <v>33912</v>
      </c>
      <c r="P4" s="106">
        <v>63753</v>
      </c>
      <c r="Q4" s="119"/>
      <c r="R4" s="106">
        <v>177546</v>
      </c>
      <c r="S4" s="106">
        <v>125144</v>
      </c>
      <c r="T4" s="13"/>
      <c r="U4" s="106">
        <v>31301</v>
      </c>
      <c r="V4" s="106">
        <v>42876</v>
      </c>
      <c r="W4" s="13"/>
      <c r="X4" s="106">
        <v>146245</v>
      </c>
      <c r="Y4" s="106">
        <v>82268</v>
      </c>
      <c r="Z4" s="13"/>
      <c r="AA4" s="106">
        <v>86032</v>
      </c>
      <c r="AB4" s="106">
        <v>38079</v>
      </c>
      <c r="AC4" s="13"/>
      <c r="AD4" s="106">
        <v>60213</v>
      </c>
      <c r="AE4" s="106">
        <v>44189</v>
      </c>
      <c r="AF4" s="13"/>
      <c r="AG4" s="118" t="s">
        <v>128</v>
      </c>
      <c r="AH4" s="106">
        <v>188897</v>
      </c>
      <c r="AI4" s="106">
        <v>256524</v>
      </c>
      <c r="AJ4" s="13"/>
      <c r="AK4" s="106">
        <v>125144</v>
      </c>
      <c r="AL4" s="106">
        <v>173182</v>
      </c>
      <c r="AM4" s="13"/>
      <c r="AN4" s="106">
        <v>82268</v>
      </c>
      <c r="AO4" s="106">
        <v>115854</v>
      </c>
      <c r="AP4" s="13"/>
      <c r="AQ4" s="121">
        <v>256524</v>
      </c>
      <c r="AR4" s="121">
        <v>167268</v>
      </c>
    </row>
    <row r="5" spans="1:44" x14ac:dyDescent="0.25">
      <c r="A5" s="119" t="s">
        <v>129</v>
      </c>
      <c r="B5" s="119"/>
      <c r="C5" s="104">
        <f>[1]Q2_2016!$C$198</f>
        <v>599820</v>
      </c>
      <c r="D5" s="105">
        <f>[1]Q2_2016!$D$198</f>
        <v>885569</v>
      </c>
      <c r="E5" s="119"/>
      <c r="F5" s="104">
        <f>[1]Q2_2016!$I$198</f>
        <v>343886</v>
      </c>
      <c r="G5" s="105">
        <f>[1]Q2_2016!$J$198</f>
        <v>462379</v>
      </c>
      <c r="H5" s="119"/>
      <c r="I5" s="104">
        <v>255934</v>
      </c>
      <c r="J5" s="105">
        <v>423190</v>
      </c>
      <c r="K5" s="119"/>
      <c r="L5" s="104">
        <v>1934229</v>
      </c>
      <c r="M5" s="105">
        <v>855029</v>
      </c>
      <c r="N5" s="119"/>
      <c r="O5" s="104">
        <v>525579</v>
      </c>
      <c r="P5" s="105">
        <v>314945</v>
      </c>
      <c r="Q5" s="119"/>
      <c r="R5" s="105">
        <v>1408650</v>
      </c>
      <c r="S5" s="105">
        <v>540084</v>
      </c>
      <c r="T5" s="13"/>
      <c r="U5" s="105">
        <v>523081</v>
      </c>
      <c r="V5" s="105">
        <v>257781</v>
      </c>
      <c r="W5" s="13"/>
      <c r="X5" s="105">
        <v>885569</v>
      </c>
      <c r="Y5" s="105">
        <v>282303</v>
      </c>
      <c r="Z5" s="13"/>
      <c r="AA5" s="105">
        <v>462379</v>
      </c>
      <c r="AB5" s="105">
        <v>155138</v>
      </c>
      <c r="AC5" s="13"/>
      <c r="AD5" s="105">
        <v>423190</v>
      </c>
      <c r="AE5" s="105">
        <v>127165</v>
      </c>
      <c r="AF5" s="13"/>
      <c r="AG5" s="119" t="s">
        <v>129</v>
      </c>
      <c r="AH5" s="105">
        <v>403503</v>
      </c>
      <c r="AI5" s="105">
        <v>520926</v>
      </c>
      <c r="AJ5" s="13"/>
      <c r="AK5" s="105">
        <v>234821</v>
      </c>
      <c r="AL5" s="105">
        <v>402703</v>
      </c>
      <c r="AM5" s="13"/>
      <c r="AN5" s="105">
        <v>126211</v>
      </c>
      <c r="AO5" s="105">
        <v>274748</v>
      </c>
      <c r="AP5" s="13"/>
      <c r="AQ5" s="18">
        <v>520926</v>
      </c>
      <c r="AR5" s="18">
        <v>857153</v>
      </c>
    </row>
    <row r="6" spans="1:44" x14ac:dyDescent="0.25">
      <c r="A6" s="119" t="s">
        <v>130</v>
      </c>
      <c r="B6" s="119"/>
      <c r="C6" s="104">
        <f>[1]Q2_2016!$C$204</f>
        <v>744339</v>
      </c>
      <c r="D6" s="105">
        <f>[1]Q2_2016!$D$204</f>
        <v>696246</v>
      </c>
      <c r="E6" s="119"/>
      <c r="F6" s="104">
        <f>[1]Q2_2016!$I$204</f>
        <v>416024</v>
      </c>
      <c r="G6" s="105">
        <f>[1]Q2_2016!$J$204</f>
        <v>410845</v>
      </c>
      <c r="H6" s="119"/>
      <c r="I6" s="104">
        <v>328315</v>
      </c>
      <c r="J6" s="105">
        <v>285401</v>
      </c>
      <c r="K6" s="119"/>
      <c r="L6" s="104">
        <v>1924886</v>
      </c>
      <c r="M6" s="105">
        <v>1934781</v>
      </c>
      <c r="N6" s="119"/>
      <c r="O6" s="104">
        <v>791335</v>
      </c>
      <c r="P6" s="105">
        <v>648958</v>
      </c>
      <c r="Q6" s="119"/>
      <c r="R6" s="105">
        <v>1133551</v>
      </c>
      <c r="S6" s="105">
        <v>1285823</v>
      </c>
      <c r="T6" s="13"/>
      <c r="U6" s="105">
        <v>437305</v>
      </c>
      <c r="V6" s="105">
        <v>444335</v>
      </c>
      <c r="W6" s="13"/>
      <c r="X6" s="105">
        <v>696246</v>
      </c>
      <c r="Y6" s="105">
        <v>841488</v>
      </c>
      <c r="Z6" s="13"/>
      <c r="AA6" s="105">
        <v>410845</v>
      </c>
      <c r="AB6" s="105">
        <v>461646</v>
      </c>
      <c r="AC6" s="13"/>
      <c r="AD6" s="105">
        <v>285401</v>
      </c>
      <c r="AE6" s="105">
        <v>379842</v>
      </c>
      <c r="AF6" s="13"/>
      <c r="AG6" s="119" t="s">
        <v>131</v>
      </c>
      <c r="AH6" s="105">
        <v>115951</v>
      </c>
      <c r="AI6" s="105">
        <v>606915</v>
      </c>
      <c r="AJ6" s="13"/>
      <c r="AK6" s="105">
        <v>79784</v>
      </c>
      <c r="AL6" s="105">
        <v>438534</v>
      </c>
      <c r="AM6" s="13"/>
      <c r="AN6" s="105">
        <v>57697</v>
      </c>
      <c r="AO6" s="105">
        <v>247822</v>
      </c>
      <c r="AP6" s="13"/>
      <c r="AQ6" s="18">
        <v>606915</v>
      </c>
      <c r="AR6" s="18">
        <v>340396</v>
      </c>
    </row>
    <row r="7" spans="1:44" ht="15.75" x14ac:dyDescent="0.25">
      <c r="A7" s="119" t="s">
        <v>132</v>
      </c>
      <c r="B7" s="119"/>
      <c r="C7" s="104">
        <f>[1]Q2_2016!$C$210</f>
        <v>757</v>
      </c>
      <c r="D7" s="105">
        <f>[1]Q2_2016!$D$210</f>
        <v>2531</v>
      </c>
      <c r="E7" s="119"/>
      <c r="F7" s="104">
        <f>[1]Q2_2016!$I$210</f>
        <v>78</v>
      </c>
      <c r="G7" s="105">
        <f>[1]Q2_2016!$J$210</f>
        <v>893</v>
      </c>
      <c r="H7" s="119"/>
      <c r="I7" s="104">
        <v>679</v>
      </c>
      <c r="J7" s="105">
        <v>1638</v>
      </c>
      <c r="K7" s="119"/>
      <c r="L7" s="104">
        <v>4604</v>
      </c>
      <c r="M7" s="105">
        <v>5928</v>
      </c>
      <c r="N7" s="119"/>
      <c r="O7" s="104">
        <v>1407</v>
      </c>
      <c r="P7" s="105">
        <v>3719</v>
      </c>
      <c r="Q7" s="119"/>
      <c r="R7" s="105">
        <v>3197</v>
      </c>
      <c r="S7" s="105">
        <v>2209</v>
      </c>
      <c r="T7" s="13"/>
      <c r="U7" s="105">
        <v>666</v>
      </c>
      <c r="V7" s="105">
        <v>1408</v>
      </c>
      <c r="W7" s="13"/>
      <c r="X7" s="105">
        <v>2531</v>
      </c>
      <c r="Y7" s="105">
        <v>801</v>
      </c>
      <c r="Z7" s="13"/>
      <c r="AA7" s="105">
        <v>893</v>
      </c>
      <c r="AB7" s="105">
        <v>689</v>
      </c>
      <c r="AC7" s="13"/>
      <c r="AD7" s="105">
        <v>1638</v>
      </c>
      <c r="AE7" s="105">
        <v>112</v>
      </c>
      <c r="AF7" s="13"/>
      <c r="AG7" s="122" t="s">
        <v>133</v>
      </c>
      <c r="AH7" s="105">
        <v>335575</v>
      </c>
      <c r="AI7" s="105">
        <v>202252</v>
      </c>
      <c r="AJ7" s="13"/>
      <c r="AK7" s="105">
        <v>225479</v>
      </c>
      <c r="AL7" s="105">
        <v>116342</v>
      </c>
      <c r="AM7" s="13"/>
      <c r="AN7" s="105">
        <v>98395</v>
      </c>
      <c r="AO7" s="105">
        <v>50183</v>
      </c>
      <c r="AP7" s="13"/>
      <c r="AQ7" s="18">
        <v>202252</v>
      </c>
      <c r="AR7" s="18">
        <v>221763</v>
      </c>
    </row>
    <row r="8" spans="1:44" x14ac:dyDescent="0.25">
      <c r="A8" s="57" t="s">
        <v>134</v>
      </c>
      <c r="B8" s="119"/>
      <c r="C8" s="123">
        <f>[1]Q2_2016!$C$216</f>
        <v>16560</v>
      </c>
      <c r="D8" s="112">
        <f>[1]Q2_2016!$D$216</f>
        <v>40136</v>
      </c>
      <c r="E8" s="119"/>
      <c r="F8" s="123">
        <f>[1]Q2_2016!$I$216</f>
        <v>11182</v>
      </c>
      <c r="G8" s="112">
        <f>[1]Q2_2016!$J$216</f>
        <v>18900</v>
      </c>
      <c r="H8" s="119"/>
      <c r="I8" s="123">
        <v>5378</v>
      </c>
      <c r="J8" s="112">
        <v>21236</v>
      </c>
      <c r="K8" s="119"/>
      <c r="L8" s="123">
        <v>100293</v>
      </c>
      <c r="M8" s="112">
        <v>104957</v>
      </c>
      <c r="N8" s="119"/>
      <c r="O8" s="123">
        <v>44365</v>
      </c>
      <c r="P8" s="112">
        <v>48013</v>
      </c>
      <c r="Q8" s="119"/>
      <c r="R8" s="112">
        <v>55928</v>
      </c>
      <c r="S8" s="112">
        <v>56944</v>
      </c>
      <c r="T8" s="13"/>
      <c r="U8" s="112">
        <v>15792</v>
      </c>
      <c r="V8" s="112">
        <v>13727</v>
      </c>
      <c r="W8" s="13"/>
      <c r="X8" s="112">
        <v>40136</v>
      </c>
      <c r="Y8" s="112">
        <v>43217</v>
      </c>
      <c r="Z8" s="13"/>
      <c r="AA8" s="112">
        <v>18900</v>
      </c>
      <c r="AB8" s="112">
        <v>29215</v>
      </c>
      <c r="AC8" s="13"/>
      <c r="AD8" s="112">
        <v>21236</v>
      </c>
      <c r="AE8" s="112">
        <v>14002</v>
      </c>
      <c r="AF8" s="13"/>
      <c r="AG8" s="119" t="s">
        <v>130</v>
      </c>
      <c r="AH8" s="105">
        <v>1934781</v>
      </c>
      <c r="AI8" s="105">
        <v>2080675</v>
      </c>
      <c r="AJ8" s="13"/>
      <c r="AK8" s="105">
        <v>1285823</v>
      </c>
      <c r="AL8" s="105">
        <v>1191798</v>
      </c>
      <c r="AM8" s="13"/>
      <c r="AN8" s="105">
        <v>841488</v>
      </c>
      <c r="AO8" s="105">
        <v>633812</v>
      </c>
      <c r="AP8" s="13"/>
      <c r="AQ8" s="18">
        <v>2080675</v>
      </c>
      <c r="AR8" s="18">
        <v>1785779</v>
      </c>
    </row>
    <row r="9" spans="1:44" x14ac:dyDescent="0.25">
      <c r="A9" s="124" t="s">
        <v>196</v>
      </c>
      <c r="C9" s="104">
        <f>SUM(C4:C8)</f>
        <v>1452130</v>
      </c>
      <c r="D9" s="105">
        <f>SUM(D4:D8)</f>
        <v>1770727</v>
      </c>
      <c r="F9" s="105">
        <f>SUM(F4:F8)</f>
        <v>798407</v>
      </c>
      <c r="G9" s="105">
        <f>SUM(G4:G8)</f>
        <v>979049</v>
      </c>
      <c r="I9" s="104">
        <f>SUM(I4:I8)</f>
        <v>653723</v>
      </c>
      <c r="J9" s="105">
        <f>SUM(J4:J8)</f>
        <v>791678</v>
      </c>
      <c r="L9" s="104">
        <f>SUM(L4:L8)</f>
        <v>4175470</v>
      </c>
      <c r="M9" s="105">
        <f>SUM(M4:M8)</f>
        <v>3089592</v>
      </c>
      <c r="O9" s="104">
        <f>SUM(O4:O8)</f>
        <v>1396598</v>
      </c>
      <c r="P9" s="105">
        <f>SUM(P4:P8)</f>
        <v>1079388</v>
      </c>
      <c r="Q9" s="125"/>
      <c r="R9" s="105">
        <f>SUM(R4:R8)</f>
        <v>2778872</v>
      </c>
      <c r="S9" s="105">
        <f>SUM(S4:S8)</f>
        <v>2010204</v>
      </c>
      <c r="T9" s="13"/>
      <c r="U9" s="105">
        <f>SUM(U4:U8)</f>
        <v>1008145</v>
      </c>
      <c r="V9" s="105">
        <f>SUM(V4:V8)</f>
        <v>760127</v>
      </c>
      <c r="W9" s="13"/>
      <c r="X9" s="105">
        <f>SUM(X4:X8)</f>
        <v>1770727</v>
      </c>
      <c r="Y9" s="105">
        <f>SUM(Y4:Y8)</f>
        <v>1250077</v>
      </c>
      <c r="Z9" s="13"/>
      <c r="AA9" s="105">
        <f>SUM(AA4:AA8)</f>
        <v>979049</v>
      </c>
      <c r="AB9" s="105">
        <f>SUM(AB4:AB8)</f>
        <v>684767</v>
      </c>
      <c r="AC9" s="13"/>
      <c r="AD9" s="105">
        <f>SUM(AD4:AD8)</f>
        <v>791678</v>
      </c>
      <c r="AE9" s="105">
        <f>SUM(AE4:AE8)</f>
        <v>565310</v>
      </c>
      <c r="AF9" s="13"/>
      <c r="AG9" s="119" t="s">
        <v>132</v>
      </c>
      <c r="AH9" s="105">
        <v>5928</v>
      </c>
      <c r="AI9" s="105">
        <v>21424</v>
      </c>
      <c r="AJ9" s="13"/>
      <c r="AK9" s="105">
        <v>2209</v>
      </c>
      <c r="AL9" s="105">
        <v>15087</v>
      </c>
      <c r="AM9" s="13"/>
      <c r="AN9" s="105">
        <v>801</v>
      </c>
      <c r="AO9" s="105">
        <v>11187</v>
      </c>
      <c r="AP9" s="13"/>
      <c r="AQ9" s="18">
        <v>21424</v>
      </c>
      <c r="AR9" s="18">
        <v>62003</v>
      </c>
    </row>
    <row r="10" spans="1:44" x14ac:dyDescent="0.25">
      <c r="D10" s="13"/>
      <c r="G10" s="13"/>
      <c r="J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19" t="s">
        <v>135</v>
      </c>
      <c r="AH10" s="105">
        <v>96346</v>
      </c>
      <c r="AI10" s="105">
        <v>82746</v>
      </c>
      <c r="AJ10" s="13"/>
      <c r="AK10" s="105">
        <v>52364</v>
      </c>
      <c r="AL10" s="105">
        <v>25216</v>
      </c>
      <c r="AM10" s="13"/>
      <c r="AN10" s="105">
        <v>40240</v>
      </c>
      <c r="AO10" s="105">
        <v>12650</v>
      </c>
      <c r="AP10" s="13"/>
      <c r="AQ10" s="18">
        <v>82746</v>
      </c>
      <c r="AR10" s="18">
        <v>21554</v>
      </c>
    </row>
    <row r="11" spans="1:44" x14ac:dyDescent="0.25">
      <c r="A11" s="119"/>
      <c r="B11" s="119"/>
      <c r="C11" s="104"/>
      <c r="D11" s="105"/>
      <c r="E11" s="119"/>
      <c r="F11" s="105"/>
      <c r="G11" s="105"/>
      <c r="H11" s="119"/>
      <c r="I11" s="104"/>
      <c r="J11" s="105"/>
      <c r="K11" s="119"/>
      <c r="L11" s="105"/>
      <c r="M11" s="105"/>
      <c r="N11" s="119"/>
      <c r="O11" s="105"/>
      <c r="P11" s="105"/>
      <c r="Q11" s="119"/>
      <c r="R11" s="105"/>
      <c r="S11" s="105"/>
      <c r="T11" s="13"/>
      <c r="U11" s="105"/>
      <c r="V11" s="105"/>
      <c r="W11" s="13"/>
      <c r="X11" s="105"/>
      <c r="Y11" s="105"/>
      <c r="Z11" s="13"/>
      <c r="AA11" s="105"/>
      <c r="AB11" s="105"/>
      <c r="AC11" s="13"/>
      <c r="AD11" s="105"/>
      <c r="AE11" s="105"/>
      <c r="AF11" s="13"/>
      <c r="AG11" s="57" t="s">
        <v>134</v>
      </c>
      <c r="AH11" s="112">
        <v>8611</v>
      </c>
      <c r="AI11" s="112">
        <v>8093</v>
      </c>
      <c r="AJ11" s="13"/>
      <c r="AK11" s="112">
        <v>4580</v>
      </c>
      <c r="AL11" s="112">
        <v>5531</v>
      </c>
      <c r="AM11" s="13"/>
      <c r="AN11" s="112">
        <v>2977</v>
      </c>
      <c r="AO11" s="112">
        <v>3686</v>
      </c>
      <c r="AP11" s="13"/>
      <c r="AQ11" s="126">
        <v>8093</v>
      </c>
      <c r="AR11" s="126">
        <v>15588</v>
      </c>
    </row>
    <row r="12" spans="1:44" x14ac:dyDescent="0.25">
      <c r="D12" s="13"/>
      <c r="G12" s="13"/>
      <c r="J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05">
        <f>SUM(AH4:AH11)</f>
        <v>3089592</v>
      </c>
      <c r="AI12" s="105">
        <f>SUM(AI4:AI11)</f>
        <v>3779555</v>
      </c>
      <c r="AJ12" s="13"/>
      <c r="AK12" s="105">
        <f>SUM(AK4:AK11)</f>
        <v>2010204</v>
      </c>
      <c r="AL12" s="105">
        <f>SUM(AL4:AL11)</f>
        <v>2368393</v>
      </c>
      <c r="AM12" s="13"/>
      <c r="AN12" s="105">
        <f>SUM(AN4:AN11)</f>
        <v>1250077</v>
      </c>
      <c r="AO12" s="105">
        <f>SUM(AO4:AO11)</f>
        <v>1349942</v>
      </c>
      <c r="AP12" s="13"/>
      <c r="AQ12" s="105">
        <f>SUM(AQ4:AQ11)</f>
        <v>3779555</v>
      </c>
      <c r="AR12" s="105">
        <f>SUM(AR4:AR11)</f>
        <v>3471504</v>
      </c>
    </row>
    <row r="13" spans="1:44" x14ac:dyDescent="0.25">
      <c r="D13" s="13"/>
      <c r="G13" s="13"/>
      <c r="J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</row>
    <row r="14" spans="1:44" x14ac:dyDescent="0.25">
      <c r="D14" s="13"/>
      <c r="G14" s="13"/>
      <c r="J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16" t="s">
        <v>86</v>
      </c>
      <c r="AH14" s="111" t="s">
        <v>197</v>
      </c>
      <c r="AI14" s="111" t="s">
        <v>198</v>
      </c>
      <c r="AJ14" s="13"/>
      <c r="AK14" s="111" t="s">
        <v>199</v>
      </c>
      <c r="AL14" s="111" t="s">
        <v>200</v>
      </c>
      <c r="AM14" s="13"/>
      <c r="AN14" s="111" t="s">
        <v>201</v>
      </c>
      <c r="AO14" s="111" t="s">
        <v>202</v>
      </c>
      <c r="AP14" s="13"/>
      <c r="AQ14" s="13"/>
      <c r="AR14" s="13"/>
    </row>
    <row r="15" spans="1:44" x14ac:dyDescent="0.25">
      <c r="D15" s="13"/>
      <c r="G15" s="13"/>
      <c r="J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18" t="s">
        <v>128</v>
      </c>
      <c r="AH15" s="106">
        <v>63753</v>
      </c>
      <c r="AI15" s="106">
        <v>83342</v>
      </c>
      <c r="AJ15" s="13"/>
      <c r="AK15" s="106">
        <v>42876</v>
      </c>
      <c r="AL15" s="106">
        <v>57328</v>
      </c>
      <c r="AM15" s="13"/>
      <c r="AN15" s="106">
        <v>38079</v>
      </c>
      <c r="AO15" s="106">
        <v>85570</v>
      </c>
      <c r="AP15" s="13"/>
      <c r="AQ15" s="13"/>
      <c r="AR15" s="13"/>
    </row>
    <row r="16" spans="1:44" x14ac:dyDescent="0.25">
      <c r="D16" s="13"/>
      <c r="G16" s="13"/>
      <c r="J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19" t="s">
        <v>129</v>
      </c>
      <c r="AH16" s="105">
        <v>168682</v>
      </c>
      <c r="AI16" s="105">
        <v>118223</v>
      </c>
      <c r="AJ16" s="13"/>
      <c r="AK16" s="105">
        <v>108610</v>
      </c>
      <c r="AL16" s="105">
        <v>127955</v>
      </c>
      <c r="AM16" s="13"/>
      <c r="AN16" s="105">
        <v>80950</v>
      </c>
      <c r="AO16" s="105">
        <v>163507</v>
      </c>
      <c r="AP16" s="13"/>
      <c r="AQ16" s="13"/>
      <c r="AR16" s="13"/>
    </row>
    <row r="17" spans="4:44" x14ac:dyDescent="0.25">
      <c r="D17" s="13"/>
      <c r="G17" s="13"/>
      <c r="J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19" t="s">
        <v>131</v>
      </c>
      <c r="AH17" s="105">
        <v>36167</v>
      </c>
      <c r="AI17" s="105">
        <v>168381</v>
      </c>
      <c r="AJ17" s="13"/>
      <c r="AK17" s="105">
        <v>22087</v>
      </c>
      <c r="AL17" s="105">
        <v>190712</v>
      </c>
      <c r="AM17" s="13"/>
      <c r="AN17" s="105">
        <v>14859</v>
      </c>
      <c r="AO17" s="105">
        <v>125306</v>
      </c>
      <c r="AP17" s="13"/>
      <c r="AQ17" s="13"/>
      <c r="AR17" s="13"/>
    </row>
    <row r="18" spans="4:44" ht="15.75" x14ac:dyDescent="0.25">
      <c r="D18" s="13"/>
      <c r="G18" s="13"/>
      <c r="J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22" t="s">
        <v>133</v>
      </c>
      <c r="AH18" s="105">
        <v>110096</v>
      </c>
      <c r="AI18" s="105">
        <v>85910</v>
      </c>
      <c r="AJ18" s="13"/>
      <c r="AK18" s="105">
        <v>127084</v>
      </c>
      <c r="AL18" s="105">
        <v>66159</v>
      </c>
      <c r="AM18" s="13"/>
      <c r="AN18" s="105">
        <v>59329</v>
      </c>
      <c r="AO18" s="105">
        <v>34264</v>
      </c>
      <c r="AP18" s="13"/>
      <c r="AQ18" s="13"/>
      <c r="AR18" s="13"/>
    </row>
    <row r="19" spans="4:44" x14ac:dyDescent="0.25">
      <c r="D19" s="13"/>
      <c r="G19" s="13"/>
      <c r="J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19" t="s">
        <v>130</v>
      </c>
      <c r="AH19" s="105">
        <v>648958</v>
      </c>
      <c r="AI19" s="105">
        <v>888877</v>
      </c>
      <c r="AJ19" s="13"/>
      <c r="AK19" s="105">
        <v>444335</v>
      </c>
      <c r="AL19" s="105">
        <v>557986</v>
      </c>
      <c r="AM19" s="13"/>
      <c r="AN19" s="105">
        <v>461646</v>
      </c>
      <c r="AO19" s="105">
        <v>387828</v>
      </c>
      <c r="AP19" s="13"/>
      <c r="AQ19" s="13"/>
      <c r="AR19" s="13"/>
    </row>
    <row r="20" spans="4:44" x14ac:dyDescent="0.25">
      <c r="D20" s="13"/>
      <c r="G20" s="13"/>
      <c r="J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19" t="s">
        <v>132</v>
      </c>
      <c r="AH20" s="105">
        <v>3719</v>
      </c>
      <c r="AI20" s="105">
        <v>6337</v>
      </c>
      <c r="AJ20" s="13"/>
      <c r="AK20" s="105">
        <v>1408</v>
      </c>
      <c r="AL20" s="105">
        <v>3900</v>
      </c>
      <c r="AM20" s="13"/>
      <c r="AN20" s="105">
        <v>689</v>
      </c>
      <c r="AO20" s="105">
        <v>5851</v>
      </c>
      <c r="AP20" s="13"/>
      <c r="AQ20" s="13"/>
      <c r="AR20" s="13"/>
    </row>
    <row r="21" spans="4:44" x14ac:dyDescent="0.25">
      <c r="D21" s="13"/>
      <c r="G21" s="13"/>
      <c r="J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19" t="s">
        <v>135</v>
      </c>
      <c r="AH21" s="105">
        <v>43982</v>
      </c>
      <c r="AI21" s="105">
        <v>57530</v>
      </c>
      <c r="AJ21" s="13"/>
      <c r="AK21" s="105">
        <v>12124</v>
      </c>
      <c r="AL21" s="105">
        <v>12566</v>
      </c>
      <c r="AM21" s="13"/>
      <c r="AN21" s="105">
        <v>27375</v>
      </c>
      <c r="AO21" s="105">
        <v>5941</v>
      </c>
      <c r="AP21" s="13"/>
      <c r="AQ21" s="13"/>
      <c r="AR21" s="13"/>
    </row>
    <row r="22" spans="4:44" x14ac:dyDescent="0.25">
      <c r="D22" s="13"/>
      <c r="G22" s="13"/>
      <c r="J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57" t="s">
        <v>134</v>
      </c>
      <c r="AH22" s="105">
        <v>4031</v>
      </c>
      <c r="AI22" s="112">
        <v>2562</v>
      </c>
      <c r="AJ22" s="13"/>
      <c r="AK22" s="112">
        <v>1603</v>
      </c>
      <c r="AL22" s="112">
        <v>1845</v>
      </c>
      <c r="AM22" s="13"/>
      <c r="AN22" s="127">
        <v>1840</v>
      </c>
      <c r="AO22" s="127">
        <v>820</v>
      </c>
      <c r="AP22" s="13"/>
      <c r="AQ22" s="13"/>
      <c r="AR22" s="13"/>
    </row>
    <row r="23" spans="4:44" x14ac:dyDescent="0.25">
      <c r="D23" s="13"/>
      <c r="G23" s="13"/>
      <c r="J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16"/>
      <c r="AH23" s="128">
        <f>SUM(AH15:AH22)</f>
        <v>1079388</v>
      </c>
      <c r="AI23" s="128">
        <f>SUM(AI15:AI22)</f>
        <v>1411162</v>
      </c>
      <c r="AJ23" s="13"/>
      <c r="AK23" s="128">
        <f>SUM(AK15:AK22)</f>
        <v>760127</v>
      </c>
      <c r="AL23" s="128">
        <f>SUM(AL15:AL22)</f>
        <v>1018451</v>
      </c>
      <c r="AM23" s="13"/>
      <c r="AN23" s="128">
        <f>SUM(AN15:AN22)</f>
        <v>684767</v>
      </c>
      <c r="AO23" s="128">
        <f>SUM(AO15:AO22)</f>
        <v>809087</v>
      </c>
      <c r="AP23" s="13"/>
      <c r="AQ23" s="13"/>
      <c r="AR23" s="13"/>
    </row>
  </sheetData>
  <customSheetViews>
    <customSheetView guid="{627AEB6E-B9F1-415E-9A60-881757A50C67}">
      <selection activeCell="A14" sqref="A14"/>
      <pageMargins left="0.7" right="0.7" top="0.75" bottom="0.75" header="0.3" footer="0.3"/>
    </customSheetView>
    <customSheetView guid="{AAA495E0-27FD-4941-85B8-9038B6AD4FA3}">
      <selection activeCell="A14" sqref="A14"/>
      <pageMargins left="0.7" right="0.7" top="0.75" bottom="0.75" header="0.3" footer="0.3"/>
    </customSheetView>
    <customSheetView guid="{874BA5F8-BD95-4DDF-8F31-98DB154CA965}">
      <selection activeCell="A14" sqref="A14"/>
      <pageMargins left="0.7" right="0.7" top="0.75" bottom="0.75" header="0.3" footer="0.3"/>
    </customSheetView>
    <customSheetView guid="{77EFF5B1-32BE-4080-9902-B97F43099026}">
      <selection activeCell="A14" sqref="A14"/>
      <pageMargins left="0.7" right="0.7" top="0.75" bottom="0.75" header="0.3" footer="0.3"/>
    </customSheetView>
  </customSheetViews>
  <mergeCells count="4">
    <mergeCell ref="R2:S2"/>
    <mergeCell ref="U2:V2"/>
    <mergeCell ref="X2:Y2"/>
    <mergeCell ref="AA2:A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39"/>
  <sheetViews>
    <sheetView zoomScale="85" zoomScaleNormal="85" workbookViewId="0">
      <selection activeCell="I18" sqref="I18"/>
    </sheetView>
  </sheetViews>
  <sheetFormatPr defaultRowHeight="15" x14ac:dyDescent="0.25"/>
  <cols>
    <col min="1" max="1" width="90.28515625" style="12" customWidth="1"/>
    <col min="2" max="2" width="8.140625" style="12" customWidth="1"/>
    <col min="3" max="3" width="23.5703125" style="12" customWidth="1"/>
    <col min="4" max="4" width="25.140625" style="12" customWidth="1"/>
    <col min="5" max="16384" width="9.140625" style="12"/>
  </cols>
  <sheetData>
    <row r="1" spans="1:4" ht="20.25" x14ac:dyDescent="0.25">
      <c r="A1" s="1" t="s">
        <v>203</v>
      </c>
      <c r="B1" s="129"/>
      <c r="C1" s="130"/>
      <c r="D1" s="130"/>
    </row>
    <row r="2" spans="1:4" ht="63.75" x14ac:dyDescent="0.25">
      <c r="A2" s="110" t="s">
        <v>86</v>
      </c>
      <c r="B2" s="131" t="s">
        <v>204</v>
      </c>
      <c r="C2" s="132" t="s">
        <v>523</v>
      </c>
      <c r="D2" s="132" t="s">
        <v>524</v>
      </c>
    </row>
    <row r="3" spans="1:4" x14ac:dyDescent="0.25">
      <c r="A3" s="49"/>
      <c r="B3" s="133"/>
      <c r="C3" s="134"/>
      <c r="D3" s="134"/>
    </row>
    <row r="4" spans="1:4" x14ac:dyDescent="0.25">
      <c r="A4" s="52" t="s">
        <v>205</v>
      </c>
      <c r="B4" s="133">
        <v>11</v>
      </c>
      <c r="C4" s="135">
        <v>8942857</v>
      </c>
      <c r="D4" s="135">
        <v>9256614</v>
      </c>
    </row>
    <row r="5" spans="1:4" x14ac:dyDescent="0.25">
      <c r="A5" s="52" t="s">
        <v>206</v>
      </c>
      <c r="B5" s="133">
        <v>12</v>
      </c>
      <c r="C5" s="135">
        <v>-8286129</v>
      </c>
      <c r="D5" s="135">
        <v>-7612275</v>
      </c>
    </row>
    <row r="6" spans="1:4" x14ac:dyDescent="0.25">
      <c r="A6" s="49" t="s">
        <v>207</v>
      </c>
      <c r="B6" s="133"/>
      <c r="C6" s="136">
        <v>656728</v>
      </c>
      <c r="D6" s="136">
        <v>1644339</v>
      </c>
    </row>
    <row r="7" spans="1:4" x14ac:dyDescent="0.25">
      <c r="A7" s="52" t="s">
        <v>208</v>
      </c>
      <c r="B7" s="133">
        <v>12</v>
      </c>
      <c r="C7" s="135">
        <v>-220397</v>
      </c>
      <c r="D7" s="135">
        <v>-237832</v>
      </c>
    </row>
    <row r="8" spans="1:4" x14ac:dyDescent="0.25">
      <c r="A8" s="52" t="s">
        <v>209</v>
      </c>
      <c r="B8" s="133">
        <v>12</v>
      </c>
      <c r="C8" s="135">
        <v>-317979</v>
      </c>
      <c r="D8" s="135">
        <v>-312824</v>
      </c>
    </row>
    <row r="9" spans="1:4" x14ac:dyDescent="0.25">
      <c r="A9" s="52" t="s">
        <v>210</v>
      </c>
      <c r="B9" s="133">
        <v>41</v>
      </c>
      <c r="C9" s="135">
        <v>15293</v>
      </c>
      <c r="D9" s="135">
        <v>-49381</v>
      </c>
    </row>
    <row r="10" spans="1:4" x14ac:dyDescent="0.25">
      <c r="A10" s="137" t="s">
        <v>211</v>
      </c>
      <c r="B10" s="138"/>
      <c r="C10" s="139">
        <v>133645</v>
      </c>
      <c r="D10" s="139">
        <v>1044302</v>
      </c>
    </row>
    <row r="11" spans="1:4" x14ac:dyDescent="0.25">
      <c r="A11" s="140" t="s">
        <v>212</v>
      </c>
      <c r="B11" s="141">
        <v>21</v>
      </c>
      <c r="C11" s="142">
        <v>59861</v>
      </c>
      <c r="D11" s="142">
        <v>4870</v>
      </c>
    </row>
    <row r="12" spans="1:4" x14ac:dyDescent="0.25">
      <c r="A12" s="140" t="s">
        <v>213</v>
      </c>
      <c r="B12" s="141">
        <v>13</v>
      </c>
      <c r="C12" s="142">
        <v>55939</v>
      </c>
      <c r="D12" s="142">
        <v>41418</v>
      </c>
    </row>
    <row r="13" spans="1:4" x14ac:dyDescent="0.25">
      <c r="A13" s="140" t="s">
        <v>214</v>
      </c>
      <c r="B13" s="141">
        <v>14</v>
      </c>
      <c r="C13" s="143">
        <v>-137959</v>
      </c>
      <c r="D13" s="143">
        <v>-144216</v>
      </c>
    </row>
    <row r="14" spans="1:4" x14ac:dyDescent="0.25">
      <c r="A14" s="140" t="s">
        <v>215</v>
      </c>
      <c r="B14" s="141">
        <v>14</v>
      </c>
      <c r="C14" s="143">
        <v>-78811</v>
      </c>
      <c r="D14" s="143">
        <v>-87571</v>
      </c>
    </row>
    <row r="15" spans="1:4" x14ac:dyDescent="0.25">
      <c r="A15" s="144" t="s">
        <v>216</v>
      </c>
      <c r="B15" s="141"/>
      <c r="C15" s="142">
        <v>32675</v>
      </c>
      <c r="D15" s="142">
        <v>858803</v>
      </c>
    </row>
    <row r="16" spans="1:4" x14ac:dyDescent="0.25">
      <c r="A16" s="52" t="s">
        <v>217</v>
      </c>
      <c r="B16" s="133">
        <v>15</v>
      </c>
      <c r="C16" s="135">
        <v>-27958</v>
      </c>
      <c r="D16" s="135">
        <v>-138416</v>
      </c>
    </row>
    <row r="17" spans="1:4" x14ac:dyDescent="0.25">
      <c r="A17" s="137" t="s">
        <v>218</v>
      </c>
      <c r="B17" s="138"/>
      <c r="C17" s="139">
        <v>4717</v>
      </c>
      <c r="D17" s="139">
        <v>720387</v>
      </c>
    </row>
    <row r="18" spans="1:4" x14ac:dyDescent="0.25">
      <c r="A18" s="8"/>
      <c r="B18" s="145"/>
      <c r="C18" s="138"/>
      <c r="D18" s="138"/>
    </row>
    <row r="19" spans="1:4" x14ac:dyDescent="0.25">
      <c r="A19" s="146" t="s">
        <v>219</v>
      </c>
      <c r="B19" s="147"/>
      <c r="C19" s="135">
        <v>48846</v>
      </c>
      <c r="D19" s="135">
        <v>48628</v>
      </c>
    </row>
    <row r="20" spans="1:4" x14ac:dyDescent="0.25">
      <c r="A20" s="140" t="s">
        <v>220</v>
      </c>
      <c r="B20" s="147"/>
      <c r="C20" s="135">
        <v>9922</v>
      </c>
      <c r="D20" s="135">
        <v>28</v>
      </c>
    </row>
    <row r="21" spans="1:4" x14ac:dyDescent="0.25">
      <c r="A21" s="140" t="s">
        <v>221</v>
      </c>
      <c r="B21" s="148">
        <v>15</v>
      </c>
      <c r="C21" s="135">
        <v>-9281</v>
      </c>
      <c r="D21" s="135">
        <v>-9239</v>
      </c>
    </row>
    <row r="22" spans="1:4" x14ac:dyDescent="0.25">
      <c r="A22" s="149" t="s">
        <v>222</v>
      </c>
      <c r="B22" s="148"/>
      <c r="C22" s="136">
        <v>49487</v>
      </c>
      <c r="D22" s="136">
        <v>39417</v>
      </c>
    </row>
    <row r="23" spans="1:4" x14ac:dyDescent="0.25">
      <c r="A23" s="140"/>
      <c r="B23" s="148"/>
      <c r="C23" s="136"/>
      <c r="D23" s="136"/>
    </row>
    <row r="24" spans="1:4" x14ac:dyDescent="0.25">
      <c r="A24" s="140" t="s">
        <v>223</v>
      </c>
      <c r="B24" s="148"/>
      <c r="C24" s="135">
        <v>-1429</v>
      </c>
      <c r="D24" s="135">
        <v>1123</v>
      </c>
    </row>
    <row r="25" spans="1:4" x14ac:dyDescent="0.25">
      <c r="A25" s="140" t="s">
        <v>221</v>
      </c>
      <c r="B25" s="148">
        <v>15</v>
      </c>
      <c r="C25" s="135">
        <v>270</v>
      </c>
      <c r="D25" s="135">
        <v>-216</v>
      </c>
    </row>
    <row r="26" spans="1:4" x14ac:dyDescent="0.25">
      <c r="A26" s="140" t="s">
        <v>224</v>
      </c>
      <c r="B26" s="147"/>
      <c r="C26" s="135">
        <v>41</v>
      </c>
      <c r="D26" s="135">
        <v>0</v>
      </c>
    </row>
    <row r="27" spans="1:4" x14ac:dyDescent="0.25">
      <c r="A27" s="149" t="s">
        <v>225</v>
      </c>
      <c r="B27" s="147"/>
      <c r="C27" s="136">
        <v>-1118</v>
      </c>
      <c r="D27" s="136">
        <v>907</v>
      </c>
    </row>
    <row r="28" spans="1:4" x14ac:dyDescent="0.25">
      <c r="A28" s="90"/>
      <c r="B28" s="147"/>
      <c r="C28" s="136"/>
      <c r="D28" s="136"/>
    </row>
    <row r="29" spans="1:4" x14ac:dyDescent="0.25">
      <c r="A29" s="150" t="s">
        <v>226</v>
      </c>
      <c r="B29" s="147"/>
      <c r="C29" s="136">
        <v>48369</v>
      </c>
      <c r="D29" s="136">
        <v>40324</v>
      </c>
    </row>
    <row r="30" spans="1:4" x14ac:dyDescent="0.25">
      <c r="A30" s="92" t="s">
        <v>227</v>
      </c>
      <c r="B30" s="151"/>
      <c r="C30" s="152">
        <v>53086</v>
      </c>
      <c r="D30" s="152">
        <v>760711</v>
      </c>
    </row>
    <row r="31" spans="1:4" x14ac:dyDescent="0.25">
      <c r="A31" s="8"/>
      <c r="B31" s="153"/>
      <c r="C31" s="154"/>
      <c r="D31" s="154"/>
    </row>
    <row r="32" spans="1:4" x14ac:dyDescent="0.25">
      <c r="A32" s="64" t="s">
        <v>228</v>
      </c>
      <c r="B32" s="155"/>
      <c r="C32" s="134"/>
      <c r="D32" s="134"/>
    </row>
    <row r="33" spans="1:4" x14ac:dyDescent="0.25">
      <c r="A33" s="65" t="s">
        <v>229</v>
      </c>
      <c r="B33" s="156"/>
      <c r="C33" s="157">
        <v>3435</v>
      </c>
      <c r="D33" s="158">
        <v>718524</v>
      </c>
    </row>
    <row r="34" spans="1:4" x14ac:dyDescent="0.25">
      <c r="A34" s="65" t="s">
        <v>230</v>
      </c>
      <c r="B34" s="156"/>
      <c r="C34" s="159">
        <v>1282</v>
      </c>
      <c r="D34" s="134">
        <v>1863</v>
      </c>
    </row>
    <row r="35" spans="1:4" x14ac:dyDescent="0.25">
      <c r="A35" s="90" t="s">
        <v>231</v>
      </c>
      <c r="B35" s="156"/>
      <c r="C35" s="134"/>
      <c r="D35" s="134"/>
    </row>
    <row r="36" spans="1:4" x14ac:dyDescent="0.25">
      <c r="A36" s="65" t="s">
        <v>229</v>
      </c>
      <c r="B36" s="156"/>
      <c r="C36" s="157">
        <v>51804</v>
      </c>
      <c r="D36" s="158">
        <v>758846</v>
      </c>
    </row>
    <row r="37" spans="1:4" x14ac:dyDescent="0.25">
      <c r="A37" s="160" t="s">
        <v>230</v>
      </c>
      <c r="B37" s="161"/>
      <c r="C37" s="159">
        <v>1282</v>
      </c>
      <c r="D37" s="134">
        <v>1865</v>
      </c>
    </row>
    <row r="38" spans="1:4" x14ac:dyDescent="0.25">
      <c r="A38" s="8"/>
      <c r="B38" s="162"/>
      <c r="C38" s="138"/>
      <c r="D38" s="138"/>
    </row>
    <row r="39" spans="1:4" x14ac:dyDescent="0.25">
      <c r="A39" s="92" t="s">
        <v>232</v>
      </c>
      <c r="B39" s="154"/>
      <c r="C39" s="163">
        <v>0</v>
      </c>
      <c r="D39" s="164">
        <v>0.41</v>
      </c>
    </row>
  </sheetData>
  <customSheetViews>
    <customSheetView guid="{627AEB6E-B9F1-415E-9A60-881757A50C67}" scale="85">
      <selection activeCell="I18" sqref="I18"/>
      <pageMargins left="0.7" right="0.7" top="0.75" bottom="0.75" header="0.3" footer="0.3"/>
    </customSheetView>
    <customSheetView guid="{AAA495E0-27FD-4941-85B8-9038B6AD4FA3}" scale="85">
      <selection activeCell="C17" sqref="C17"/>
      <pageMargins left="0.7" right="0.7" top="0.75" bottom="0.75" header="0.3" footer="0.3"/>
    </customSheetView>
    <customSheetView guid="{874BA5F8-BD95-4DDF-8F31-98DB154CA965}" scale="85">
      <selection activeCell="D39" sqref="D39"/>
      <pageMargins left="0.7" right="0.7" top="0.75" bottom="0.75" header="0.3" footer="0.3"/>
    </customSheetView>
    <customSheetView guid="{77EFF5B1-32BE-4080-9902-B97F43099026}" scale="85">
      <selection activeCell="I18" sqref="I1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65"/>
  <sheetViews>
    <sheetView topLeftCell="A26" zoomScale="90" zoomScaleNormal="90" workbookViewId="0">
      <selection activeCell="D66" sqref="D66"/>
    </sheetView>
  </sheetViews>
  <sheetFormatPr defaultRowHeight="15" x14ac:dyDescent="0.25"/>
  <cols>
    <col min="1" max="1" width="76.85546875" style="12" customWidth="1"/>
    <col min="2" max="2" width="9.140625" style="12"/>
    <col min="3" max="3" width="19.7109375" style="12" customWidth="1"/>
    <col min="4" max="4" width="21" style="12" customWidth="1"/>
    <col min="5" max="16384" width="9.140625" style="12"/>
  </cols>
  <sheetData>
    <row r="1" spans="1:4" ht="20.25" x14ac:dyDescent="0.25">
      <c r="A1" s="1" t="s">
        <v>233</v>
      </c>
      <c r="B1" s="165"/>
      <c r="C1" s="6"/>
      <c r="D1" s="6"/>
    </row>
    <row r="2" spans="1:4" ht="63.75" x14ac:dyDescent="0.25">
      <c r="A2" s="116" t="s">
        <v>86</v>
      </c>
      <c r="B2" s="111" t="s">
        <v>234</v>
      </c>
      <c r="C2" s="111" t="s">
        <v>525</v>
      </c>
      <c r="D2" s="166" t="s">
        <v>235</v>
      </c>
    </row>
    <row r="3" spans="1:4" x14ac:dyDescent="0.25">
      <c r="A3" s="49" t="s">
        <v>236</v>
      </c>
      <c r="B3" s="167"/>
      <c r="C3" s="8"/>
      <c r="D3" s="8"/>
    </row>
    <row r="4" spans="1:4" x14ac:dyDescent="0.25">
      <c r="A4" s="64" t="s">
        <v>237</v>
      </c>
      <c r="B4" s="168"/>
      <c r="C4" s="169"/>
      <c r="D4" s="169"/>
    </row>
    <row r="5" spans="1:4" x14ac:dyDescent="0.25">
      <c r="A5" s="20" t="s">
        <v>238</v>
      </c>
      <c r="B5" s="170">
        <v>17</v>
      </c>
      <c r="C5" s="171">
        <v>25066173</v>
      </c>
      <c r="D5" s="171">
        <v>24882817</v>
      </c>
    </row>
    <row r="6" spans="1:4" x14ac:dyDescent="0.25">
      <c r="A6" s="20" t="s">
        <v>239</v>
      </c>
      <c r="B6" s="170">
        <v>18</v>
      </c>
      <c r="C6" s="171">
        <v>40156</v>
      </c>
      <c r="D6" s="171">
        <v>92059</v>
      </c>
    </row>
    <row r="7" spans="1:4" x14ac:dyDescent="0.25">
      <c r="A7" s="20" t="s">
        <v>240</v>
      </c>
      <c r="B7" s="170" t="s">
        <v>241</v>
      </c>
      <c r="C7" s="171">
        <v>94988</v>
      </c>
      <c r="D7" s="171">
        <v>510840</v>
      </c>
    </row>
    <row r="8" spans="1:4" x14ac:dyDescent="0.25">
      <c r="A8" s="20" t="s">
        <v>242</v>
      </c>
      <c r="B8" s="170">
        <v>20</v>
      </c>
      <c r="C8" s="171">
        <v>1197136</v>
      </c>
      <c r="D8" s="171">
        <v>1182765</v>
      </c>
    </row>
    <row r="9" spans="1:4" x14ac:dyDescent="0.25">
      <c r="A9" s="20" t="s">
        <v>243</v>
      </c>
      <c r="B9" s="172">
        <v>21</v>
      </c>
      <c r="C9" s="171">
        <v>462202</v>
      </c>
      <c r="D9" s="171">
        <v>418127</v>
      </c>
    </row>
    <row r="10" spans="1:4" x14ac:dyDescent="0.25">
      <c r="A10" s="20" t="s">
        <v>244</v>
      </c>
      <c r="B10" s="172">
        <v>22</v>
      </c>
      <c r="C10" s="171">
        <v>225837</v>
      </c>
      <c r="D10" s="171">
        <v>221803</v>
      </c>
    </row>
    <row r="11" spans="1:4" x14ac:dyDescent="0.25">
      <c r="A11" s="20" t="s">
        <v>245</v>
      </c>
      <c r="B11" s="170">
        <v>23</v>
      </c>
      <c r="C11" s="171">
        <v>237582</v>
      </c>
      <c r="D11" s="171">
        <v>211215</v>
      </c>
    </row>
    <row r="12" spans="1:4" x14ac:dyDescent="0.25">
      <c r="A12" s="20" t="s">
        <v>246</v>
      </c>
      <c r="B12" s="170" t="s">
        <v>247</v>
      </c>
      <c r="C12" s="171">
        <v>514318</v>
      </c>
      <c r="D12" s="171">
        <v>550375</v>
      </c>
    </row>
    <row r="13" spans="1:4" x14ac:dyDescent="0.25">
      <c r="A13" s="25" t="s">
        <v>248</v>
      </c>
      <c r="B13" s="173" t="s">
        <v>249</v>
      </c>
      <c r="C13" s="171">
        <v>65730</v>
      </c>
      <c r="D13" s="171">
        <v>54184</v>
      </c>
    </row>
    <row r="14" spans="1:4" x14ac:dyDescent="0.25">
      <c r="A14" s="8"/>
      <c r="B14" s="8"/>
      <c r="C14" s="174">
        <v>27904122</v>
      </c>
      <c r="D14" s="174">
        <v>28124185</v>
      </c>
    </row>
    <row r="15" spans="1:4" x14ac:dyDescent="0.25">
      <c r="A15" s="64" t="s">
        <v>250</v>
      </c>
      <c r="B15" s="168"/>
      <c r="C15" s="171"/>
      <c r="D15" s="171"/>
    </row>
    <row r="16" spans="1:4" x14ac:dyDescent="0.25">
      <c r="A16" s="20" t="s">
        <v>240</v>
      </c>
      <c r="B16" s="16" t="s">
        <v>251</v>
      </c>
      <c r="C16" s="171">
        <v>648516</v>
      </c>
      <c r="D16" s="171">
        <v>805388</v>
      </c>
    </row>
    <row r="17" spans="1:4" x14ac:dyDescent="0.25">
      <c r="A17" s="20" t="s">
        <v>252</v>
      </c>
      <c r="B17" s="16">
        <v>25</v>
      </c>
      <c r="C17" s="171">
        <v>404983</v>
      </c>
      <c r="D17" s="171">
        <v>433279</v>
      </c>
    </row>
    <row r="18" spans="1:4" x14ac:dyDescent="0.25">
      <c r="A18" s="20" t="s">
        <v>253</v>
      </c>
      <c r="B18" s="16">
        <v>26</v>
      </c>
      <c r="C18" s="171">
        <v>1695043</v>
      </c>
      <c r="D18" s="171">
        <v>1830033</v>
      </c>
    </row>
    <row r="19" spans="1:4" x14ac:dyDescent="0.25">
      <c r="A19" s="20" t="s">
        <v>254</v>
      </c>
      <c r="B19" s="16">
        <v>27</v>
      </c>
      <c r="C19" s="171">
        <v>115174</v>
      </c>
      <c r="D19" s="171">
        <v>228345</v>
      </c>
    </row>
    <row r="20" spans="1:4" x14ac:dyDescent="0.25">
      <c r="A20" s="20" t="s">
        <v>245</v>
      </c>
      <c r="B20" s="16">
        <v>23</v>
      </c>
      <c r="C20" s="171">
        <v>253372</v>
      </c>
      <c r="D20" s="171">
        <v>34334</v>
      </c>
    </row>
    <row r="21" spans="1:4" x14ac:dyDescent="0.25">
      <c r="A21" s="20" t="s">
        <v>246</v>
      </c>
      <c r="B21" s="16" t="s">
        <v>255</v>
      </c>
      <c r="C21" s="171">
        <v>205206</v>
      </c>
      <c r="D21" s="171">
        <v>233059</v>
      </c>
    </row>
    <row r="22" spans="1:4" x14ac:dyDescent="0.25">
      <c r="A22" s="20" t="s">
        <v>256</v>
      </c>
      <c r="B22" s="175">
        <v>28</v>
      </c>
      <c r="C22" s="171">
        <v>422123</v>
      </c>
      <c r="D22" s="171">
        <v>364912</v>
      </c>
    </row>
    <row r="23" spans="1:4" x14ac:dyDescent="0.25">
      <c r="A23" s="176" t="s">
        <v>257</v>
      </c>
      <c r="B23" s="175"/>
      <c r="C23" s="171">
        <v>13283</v>
      </c>
      <c r="D23" s="171">
        <v>17898</v>
      </c>
    </row>
    <row r="24" spans="1:4" x14ac:dyDescent="0.25">
      <c r="A24" s="37"/>
      <c r="B24" s="177"/>
      <c r="C24" s="174">
        <v>3757700</v>
      </c>
      <c r="D24" s="174">
        <v>3947248</v>
      </c>
    </row>
    <row r="25" spans="1:4" x14ac:dyDescent="0.25">
      <c r="A25" s="8"/>
      <c r="B25" s="167"/>
      <c r="C25" s="178"/>
      <c r="D25" s="178"/>
    </row>
    <row r="26" spans="1:4" x14ac:dyDescent="0.25">
      <c r="A26" s="179" t="s">
        <v>258</v>
      </c>
      <c r="B26" s="180"/>
      <c r="C26" s="181">
        <v>31661822</v>
      </c>
      <c r="D26" s="181">
        <v>32071433</v>
      </c>
    </row>
    <row r="27" spans="1:4" x14ac:dyDescent="0.25">
      <c r="A27" s="8"/>
      <c r="B27" s="167"/>
      <c r="C27" s="178"/>
      <c r="D27" s="178"/>
    </row>
    <row r="28" spans="1:4" x14ac:dyDescent="0.25">
      <c r="A28" s="182" t="s">
        <v>259</v>
      </c>
      <c r="B28" s="183"/>
      <c r="C28" s="184"/>
      <c r="D28" s="184"/>
    </row>
    <row r="29" spans="1:4" x14ac:dyDescent="0.25">
      <c r="A29" s="49" t="s">
        <v>260</v>
      </c>
      <c r="B29" s="167"/>
      <c r="C29" s="178"/>
      <c r="D29" s="178"/>
    </row>
    <row r="30" spans="1:4" x14ac:dyDescent="0.25">
      <c r="A30" s="8" t="s">
        <v>261</v>
      </c>
      <c r="B30" s="167" t="s">
        <v>262</v>
      </c>
      <c r="C30" s="171">
        <v>8762747</v>
      </c>
      <c r="D30" s="171">
        <v>8762747</v>
      </c>
    </row>
    <row r="31" spans="1:4" x14ac:dyDescent="0.25">
      <c r="A31" s="8" t="s">
        <v>263</v>
      </c>
      <c r="B31" s="167" t="s">
        <v>265</v>
      </c>
      <c r="C31" s="171">
        <v>7823339</v>
      </c>
      <c r="D31" s="171">
        <v>11277247</v>
      </c>
    </row>
    <row r="32" spans="1:4" x14ac:dyDescent="0.25">
      <c r="A32" s="8" t="s">
        <v>264</v>
      </c>
      <c r="B32" s="167" t="s">
        <v>528</v>
      </c>
      <c r="C32" s="185">
        <v>-33849</v>
      </c>
      <c r="D32" s="185">
        <v>-73414</v>
      </c>
    </row>
    <row r="33" spans="1:4" x14ac:dyDescent="0.25">
      <c r="A33" s="8" t="s">
        <v>220</v>
      </c>
      <c r="B33" s="167"/>
      <c r="C33" s="185">
        <v>9131</v>
      </c>
      <c r="D33" s="185">
        <v>-791</v>
      </c>
    </row>
    <row r="34" spans="1:4" x14ac:dyDescent="0.25">
      <c r="A34" s="186" t="s">
        <v>266</v>
      </c>
      <c r="B34" s="187" t="s">
        <v>529</v>
      </c>
      <c r="C34" s="188">
        <v>-505261</v>
      </c>
      <c r="D34" s="188">
        <v>-3947461</v>
      </c>
    </row>
    <row r="35" spans="1:4" x14ac:dyDescent="0.25">
      <c r="A35" s="8"/>
      <c r="B35" s="167"/>
      <c r="C35" s="189">
        <v>16056107</v>
      </c>
      <c r="D35" s="189">
        <v>16018328</v>
      </c>
    </row>
    <row r="36" spans="1:4" x14ac:dyDescent="0.25">
      <c r="A36" s="8"/>
      <c r="B36" s="167"/>
      <c r="C36" s="190"/>
      <c r="D36" s="190"/>
    </row>
    <row r="37" spans="1:4" x14ac:dyDescent="0.25">
      <c r="A37" s="49" t="s">
        <v>267</v>
      </c>
      <c r="B37" s="167"/>
      <c r="C37" s="189">
        <v>28016</v>
      </c>
      <c r="D37" s="189">
        <v>29829</v>
      </c>
    </row>
    <row r="38" spans="1:4" x14ac:dyDescent="0.25">
      <c r="A38" s="8"/>
      <c r="B38" s="167"/>
      <c r="C38" s="190"/>
      <c r="D38" s="190"/>
    </row>
    <row r="39" spans="1:4" x14ac:dyDescent="0.25">
      <c r="A39" s="92" t="s">
        <v>268</v>
      </c>
      <c r="B39" s="177"/>
      <c r="C39" s="174">
        <v>16084123</v>
      </c>
      <c r="D39" s="174">
        <v>16048157</v>
      </c>
    </row>
    <row r="40" spans="1:4" x14ac:dyDescent="0.25">
      <c r="A40" s="8"/>
      <c r="B40" s="167"/>
      <c r="C40" s="171"/>
      <c r="D40" s="171"/>
    </row>
    <row r="41" spans="1:4" x14ac:dyDescent="0.25">
      <c r="A41" s="64" t="s">
        <v>269</v>
      </c>
      <c r="B41" s="168"/>
      <c r="C41" s="169"/>
      <c r="D41" s="169"/>
    </row>
    <row r="42" spans="1:4" x14ac:dyDescent="0.25">
      <c r="A42" s="20" t="s">
        <v>270</v>
      </c>
      <c r="B42" s="191">
        <v>31</v>
      </c>
      <c r="C42" s="171">
        <v>7754327</v>
      </c>
      <c r="D42" s="171">
        <v>4924127</v>
      </c>
    </row>
    <row r="43" spans="1:4" x14ac:dyDescent="0.25">
      <c r="A43" s="20" t="s">
        <v>271</v>
      </c>
      <c r="B43" s="191">
        <v>33</v>
      </c>
      <c r="C43" s="171">
        <v>1767471</v>
      </c>
      <c r="D43" s="171">
        <v>1735206</v>
      </c>
    </row>
    <row r="44" spans="1:4" x14ac:dyDescent="0.25">
      <c r="A44" s="20" t="s">
        <v>272</v>
      </c>
      <c r="B44" s="191">
        <v>34</v>
      </c>
      <c r="C44" s="171">
        <v>442561</v>
      </c>
      <c r="D44" s="171">
        <v>377372</v>
      </c>
    </row>
    <row r="45" spans="1:4" x14ac:dyDescent="0.25">
      <c r="A45" s="20" t="s">
        <v>273</v>
      </c>
      <c r="B45" s="191">
        <v>37</v>
      </c>
      <c r="C45" s="171">
        <v>642503</v>
      </c>
      <c r="D45" s="171">
        <v>650364</v>
      </c>
    </row>
    <row r="46" spans="1:4" x14ac:dyDescent="0.25">
      <c r="A46" s="20" t="s">
        <v>274</v>
      </c>
      <c r="B46" s="191" t="s">
        <v>249</v>
      </c>
      <c r="C46" s="171">
        <v>732661</v>
      </c>
      <c r="D46" s="171">
        <v>795176</v>
      </c>
    </row>
    <row r="47" spans="1:4" x14ac:dyDescent="0.25">
      <c r="A47" s="186" t="s">
        <v>275</v>
      </c>
      <c r="B47" s="192">
        <v>41</v>
      </c>
      <c r="C47" s="193">
        <v>47787</v>
      </c>
      <c r="D47" s="193">
        <v>101705</v>
      </c>
    </row>
    <row r="48" spans="1:4" x14ac:dyDescent="0.25">
      <c r="A48" s="20"/>
      <c r="B48" s="194"/>
      <c r="C48" s="189">
        <v>11387310</v>
      </c>
      <c r="D48" s="189">
        <v>8583950</v>
      </c>
    </row>
    <row r="49" spans="1:4" x14ac:dyDescent="0.25">
      <c r="A49" s="90" t="s">
        <v>276</v>
      </c>
      <c r="B49" s="195"/>
      <c r="C49" s="171"/>
      <c r="D49" s="171"/>
    </row>
    <row r="50" spans="1:4" x14ac:dyDescent="0.25">
      <c r="A50" s="20" t="s">
        <v>270</v>
      </c>
      <c r="B50" s="191">
        <v>31</v>
      </c>
      <c r="C50" s="171">
        <v>1070720</v>
      </c>
      <c r="D50" s="171">
        <v>3214520</v>
      </c>
    </row>
    <row r="51" spans="1:4" x14ac:dyDescent="0.25">
      <c r="A51" s="20" t="s">
        <v>277</v>
      </c>
      <c r="B51" s="191">
        <v>32</v>
      </c>
      <c r="C51" s="171">
        <v>125840</v>
      </c>
      <c r="D51" s="171">
        <v>96953</v>
      </c>
    </row>
    <row r="52" spans="1:4" x14ac:dyDescent="0.25">
      <c r="A52" s="20" t="s">
        <v>278</v>
      </c>
      <c r="B52" s="191"/>
      <c r="C52" s="171">
        <v>694023</v>
      </c>
      <c r="D52" s="171">
        <v>790706</v>
      </c>
    </row>
    <row r="53" spans="1:4" x14ac:dyDescent="0.25">
      <c r="A53" s="20" t="s">
        <v>279</v>
      </c>
      <c r="B53" s="191"/>
      <c r="C53" s="171">
        <v>368703</v>
      </c>
      <c r="D53" s="171">
        <v>766843</v>
      </c>
    </row>
    <row r="54" spans="1:4" x14ac:dyDescent="0.25">
      <c r="A54" s="20" t="s">
        <v>271</v>
      </c>
      <c r="B54" s="191">
        <v>33</v>
      </c>
      <c r="C54" s="171">
        <v>146575</v>
      </c>
      <c r="D54" s="171">
        <v>172505</v>
      </c>
    </row>
    <row r="55" spans="1:4" x14ac:dyDescent="0.25">
      <c r="A55" s="20" t="s">
        <v>280</v>
      </c>
      <c r="B55" s="191">
        <v>35</v>
      </c>
      <c r="C55" s="171">
        <v>508587</v>
      </c>
      <c r="D55" s="171">
        <v>1018134</v>
      </c>
    </row>
    <row r="56" spans="1:4" x14ac:dyDescent="0.25">
      <c r="A56" s="20" t="s">
        <v>281</v>
      </c>
      <c r="B56" s="191">
        <v>36</v>
      </c>
      <c r="C56" s="171">
        <v>198189</v>
      </c>
      <c r="D56" s="171">
        <v>178044</v>
      </c>
    </row>
    <row r="57" spans="1:4" x14ac:dyDescent="0.25">
      <c r="A57" s="20" t="s">
        <v>273</v>
      </c>
      <c r="B57" s="191">
        <v>37</v>
      </c>
      <c r="C57" s="171">
        <v>304205</v>
      </c>
      <c r="D57" s="171">
        <v>254337</v>
      </c>
    </row>
    <row r="58" spans="1:4" x14ac:dyDescent="0.25">
      <c r="A58" s="20" t="s">
        <v>282</v>
      </c>
      <c r="B58" s="196">
        <v>38</v>
      </c>
      <c r="C58" s="171">
        <v>286637</v>
      </c>
      <c r="D58" s="171">
        <v>429649</v>
      </c>
    </row>
    <row r="59" spans="1:4" x14ac:dyDescent="0.25">
      <c r="A59" s="197" t="s">
        <v>275</v>
      </c>
      <c r="B59" s="196"/>
      <c r="C59" s="171">
        <v>182643</v>
      </c>
      <c r="D59" s="171">
        <v>243713</v>
      </c>
    </row>
    <row r="60" spans="1:4" x14ac:dyDescent="0.25">
      <c r="A60" s="186" t="s">
        <v>283</v>
      </c>
      <c r="B60" s="192">
        <v>39</v>
      </c>
      <c r="C60" s="193">
        <v>304267</v>
      </c>
      <c r="D60" s="193">
        <v>273922</v>
      </c>
    </row>
    <row r="61" spans="1:4" x14ac:dyDescent="0.25">
      <c r="A61" s="8"/>
      <c r="B61" s="167"/>
      <c r="C61" s="189">
        <v>4190389</v>
      </c>
      <c r="D61" s="189">
        <v>7439326</v>
      </c>
    </row>
    <row r="62" spans="1:4" x14ac:dyDescent="0.25">
      <c r="A62" s="8"/>
      <c r="B62" s="167"/>
      <c r="C62" s="189"/>
      <c r="D62" s="189"/>
    </row>
    <row r="63" spans="1:4" x14ac:dyDescent="0.25">
      <c r="A63" s="92" t="s">
        <v>284</v>
      </c>
      <c r="B63" s="177"/>
      <c r="C63" s="174">
        <v>15577699</v>
      </c>
      <c r="D63" s="174">
        <v>16023276</v>
      </c>
    </row>
    <row r="64" spans="1:4" x14ac:dyDescent="0.25">
      <c r="A64" s="8"/>
      <c r="B64" s="167"/>
      <c r="C64" s="189"/>
      <c r="D64" s="189"/>
    </row>
    <row r="65" spans="1:4" x14ac:dyDescent="0.25">
      <c r="A65" s="179" t="s">
        <v>285</v>
      </c>
      <c r="B65" s="198"/>
      <c r="C65" s="181">
        <v>31661822</v>
      </c>
      <c r="D65" s="181">
        <v>32071433</v>
      </c>
    </row>
  </sheetData>
  <customSheetViews>
    <customSheetView guid="{627AEB6E-B9F1-415E-9A60-881757A50C67}" scale="90" topLeftCell="A26">
      <selection activeCell="D66" sqref="D66"/>
      <pageMargins left="0.7" right="0.7" top="0.75" bottom="0.75" header="0.3" footer="0.3"/>
    </customSheetView>
    <customSheetView guid="{AAA495E0-27FD-4941-85B8-9038B6AD4FA3}" scale="90" topLeftCell="A7">
      <selection activeCell="C42" sqref="C42:C43"/>
      <pageMargins left="0.7" right="0.7" top="0.75" bottom="0.75" header="0.3" footer="0.3"/>
    </customSheetView>
    <customSheetView guid="{874BA5F8-BD95-4DDF-8F31-98DB154CA965}" scale="90">
      <selection activeCell="B63" sqref="B63"/>
      <pageMargins left="0.7" right="0.7" top="0.75" bottom="0.75" header="0.3" footer="0.3"/>
    </customSheetView>
    <customSheetView guid="{77EFF5B1-32BE-4080-9902-B97F43099026}" scale="90" topLeftCell="A26">
      <selection activeCell="D66" sqref="D6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40"/>
  <sheetViews>
    <sheetView topLeftCell="A5" zoomScale="90" zoomScaleNormal="90" workbookViewId="0">
      <selection activeCell="D45" sqref="D45"/>
    </sheetView>
  </sheetViews>
  <sheetFormatPr defaultRowHeight="15" x14ac:dyDescent="0.25"/>
  <cols>
    <col min="1" max="1" width="77.140625" style="12" bestFit="1" customWidth="1"/>
    <col min="2" max="2" width="14.7109375" style="12" customWidth="1"/>
    <col min="3" max="3" width="16.85546875" style="12" customWidth="1"/>
    <col min="4" max="4" width="19.5703125" style="12" customWidth="1"/>
    <col min="5" max="16384" width="9.140625" style="12"/>
  </cols>
  <sheetData>
    <row r="1" spans="1:4" ht="20.25" x14ac:dyDescent="0.25">
      <c r="A1" s="1" t="s">
        <v>286</v>
      </c>
      <c r="B1" s="6"/>
      <c r="C1" s="6"/>
      <c r="D1" s="6"/>
    </row>
    <row r="2" spans="1:4" ht="51" x14ac:dyDescent="0.25">
      <c r="A2" s="199" t="s">
        <v>86</v>
      </c>
      <c r="B2" s="200" t="s">
        <v>204</v>
      </c>
      <c r="C2" s="201" t="s">
        <v>526</v>
      </c>
      <c r="D2" s="201" t="s">
        <v>527</v>
      </c>
    </row>
    <row r="3" spans="1:4" x14ac:dyDescent="0.25">
      <c r="A3" s="202" t="s">
        <v>287</v>
      </c>
      <c r="B3" s="203"/>
      <c r="C3" s="204"/>
      <c r="D3" s="204"/>
    </row>
    <row r="4" spans="1:4" x14ac:dyDescent="0.25">
      <c r="A4" s="205" t="s">
        <v>216</v>
      </c>
      <c r="B4" s="206"/>
      <c r="C4" s="207">
        <v>32675</v>
      </c>
      <c r="D4" s="208">
        <v>858803</v>
      </c>
    </row>
    <row r="5" spans="1:4" x14ac:dyDescent="0.25">
      <c r="A5" s="209" t="s">
        <v>288</v>
      </c>
      <c r="B5" s="210"/>
      <c r="C5" s="211">
        <v>-59861</v>
      </c>
      <c r="D5" s="211">
        <v>-4870</v>
      </c>
    </row>
    <row r="6" spans="1:4" x14ac:dyDescent="0.25">
      <c r="A6" s="212" t="s">
        <v>289</v>
      </c>
      <c r="B6" s="213"/>
      <c r="C6" s="214">
        <v>821372</v>
      </c>
      <c r="D6" s="214">
        <v>870603</v>
      </c>
    </row>
    <row r="7" spans="1:4" x14ac:dyDescent="0.25">
      <c r="A7" s="212" t="s">
        <v>290</v>
      </c>
      <c r="B7" s="213" t="s">
        <v>294</v>
      </c>
      <c r="C7" s="211">
        <v>699070</v>
      </c>
      <c r="D7" s="211">
        <v>-166</v>
      </c>
    </row>
    <row r="8" spans="1:4" x14ac:dyDescent="0.25">
      <c r="A8" s="212" t="s">
        <v>291</v>
      </c>
      <c r="B8" s="213"/>
      <c r="C8" s="214">
        <v>126386</v>
      </c>
      <c r="D8" s="214">
        <v>137277</v>
      </c>
    </row>
    <row r="9" spans="1:4" x14ac:dyDescent="0.25">
      <c r="A9" s="212" t="s">
        <v>292</v>
      </c>
      <c r="B9" s="213"/>
      <c r="C9" s="211">
        <v>10130</v>
      </c>
      <c r="D9" s="211">
        <v>27510</v>
      </c>
    </row>
    <row r="10" spans="1:4" x14ac:dyDescent="0.25">
      <c r="A10" s="215" t="s">
        <v>293</v>
      </c>
      <c r="B10" s="213" t="s">
        <v>294</v>
      </c>
      <c r="C10" s="211">
        <v>6786</v>
      </c>
      <c r="D10" s="211">
        <v>-196896</v>
      </c>
    </row>
    <row r="11" spans="1:4" x14ac:dyDescent="0.25">
      <c r="A11" s="215" t="s">
        <v>295</v>
      </c>
      <c r="B11" s="213" t="s">
        <v>294</v>
      </c>
      <c r="C11" s="211">
        <v>-219387</v>
      </c>
      <c r="D11" s="211">
        <v>-71201</v>
      </c>
    </row>
    <row r="12" spans="1:4" x14ac:dyDescent="0.25">
      <c r="A12" s="216" t="s">
        <v>296</v>
      </c>
      <c r="B12" s="217"/>
      <c r="C12" s="218">
        <v>1417171</v>
      </c>
      <c r="D12" s="218">
        <v>1621060</v>
      </c>
    </row>
    <row r="13" spans="1:4" x14ac:dyDescent="0.25">
      <c r="A13" s="219" t="s">
        <v>297</v>
      </c>
      <c r="B13" s="213"/>
      <c r="C13" s="214"/>
      <c r="D13" s="214"/>
    </row>
    <row r="14" spans="1:4" x14ac:dyDescent="0.25">
      <c r="A14" s="212" t="s">
        <v>298</v>
      </c>
      <c r="B14" s="210" t="s">
        <v>299</v>
      </c>
      <c r="C14" s="211">
        <v>-1769630</v>
      </c>
      <c r="D14" s="211">
        <v>-1850110</v>
      </c>
    </row>
    <row r="15" spans="1:4" x14ac:dyDescent="0.25">
      <c r="A15" s="212" t="s">
        <v>313</v>
      </c>
      <c r="B15" s="210" t="s">
        <v>299</v>
      </c>
      <c r="C15" s="211">
        <v>-131077</v>
      </c>
      <c r="D15" s="135">
        <v>0</v>
      </c>
    </row>
    <row r="16" spans="1:4" x14ac:dyDescent="0.25">
      <c r="A16" s="212" t="s">
        <v>300</v>
      </c>
      <c r="B16" s="210" t="s">
        <v>299</v>
      </c>
      <c r="C16" s="211">
        <v>-29534</v>
      </c>
      <c r="D16" s="211">
        <v>-21734</v>
      </c>
    </row>
    <row r="17" spans="1:4" x14ac:dyDescent="0.25">
      <c r="A17" s="212" t="s">
        <v>301</v>
      </c>
      <c r="B17" s="210" t="s">
        <v>299</v>
      </c>
      <c r="C17" s="211">
        <v>-7600</v>
      </c>
      <c r="D17" s="211">
        <v>-8150</v>
      </c>
    </row>
    <row r="18" spans="1:4" x14ac:dyDescent="0.25">
      <c r="A18" s="220" t="s">
        <v>302</v>
      </c>
      <c r="B18" s="210"/>
      <c r="C18" s="221">
        <v>-1937841</v>
      </c>
      <c r="D18" s="221">
        <v>-1879994</v>
      </c>
    </row>
    <row r="19" spans="1:4" x14ac:dyDescent="0.25">
      <c r="A19" s="212" t="s">
        <v>303</v>
      </c>
      <c r="B19" s="213"/>
      <c r="C19" s="211">
        <v>15403</v>
      </c>
      <c r="D19" s="222">
        <v>19379</v>
      </c>
    </row>
    <row r="20" spans="1:4" x14ac:dyDescent="0.25">
      <c r="A20" s="212" t="s">
        <v>304</v>
      </c>
      <c r="B20" s="213"/>
      <c r="C20" s="135">
        <v>0</v>
      </c>
      <c r="D20" s="222">
        <v>14500</v>
      </c>
    </row>
    <row r="21" spans="1:4" x14ac:dyDescent="0.25">
      <c r="A21" s="212" t="s">
        <v>309</v>
      </c>
      <c r="B21" s="213"/>
      <c r="C21" s="135">
        <v>0</v>
      </c>
      <c r="D21" s="222">
        <v>21732</v>
      </c>
    </row>
    <row r="22" spans="1:4" x14ac:dyDescent="0.25">
      <c r="A22" s="212" t="s">
        <v>305</v>
      </c>
      <c r="B22" s="213"/>
      <c r="C22" s="211">
        <v>18066</v>
      </c>
      <c r="D22" s="211">
        <v>11122</v>
      </c>
    </row>
    <row r="23" spans="1:4" x14ac:dyDescent="0.25">
      <c r="A23" s="205" t="s">
        <v>306</v>
      </c>
      <c r="B23" s="213"/>
      <c r="C23" s="221">
        <v>33469</v>
      </c>
      <c r="D23" s="221">
        <v>66733</v>
      </c>
    </row>
    <row r="24" spans="1:4" x14ac:dyDescent="0.25">
      <c r="A24" s="216" t="s">
        <v>307</v>
      </c>
      <c r="B24" s="223"/>
      <c r="C24" s="224">
        <v>-1904372</v>
      </c>
      <c r="D24" s="224">
        <v>-1813261</v>
      </c>
    </row>
    <row r="25" spans="1:4" x14ac:dyDescent="0.25">
      <c r="A25" s="219" t="s">
        <v>308</v>
      </c>
      <c r="B25" s="213"/>
      <c r="C25" s="214"/>
      <c r="D25" s="214"/>
    </row>
    <row r="26" spans="1:4" x14ac:dyDescent="0.25">
      <c r="A26" s="225" t="s">
        <v>309</v>
      </c>
      <c r="B26" s="213" t="s">
        <v>310</v>
      </c>
      <c r="C26" s="211">
        <v>-2250000</v>
      </c>
      <c r="D26" s="211">
        <v>-150000</v>
      </c>
    </row>
    <row r="27" spans="1:4" x14ac:dyDescent="0.25">
      <c r="A27" s="226" t="s">
        <v>311</v>
      </c>
      <c r="B27" s="213" t="s">
        <v>310</v>
      </c>
      <c r="C27" s="211">
        <v>-44724</v>
      </c>
      <c r="D27" s="211">
        <v>-44739</v>
      </c>
    </row>
    <row r="28" spans="1:4" x14ac:dyDescent="0.25">
      <c r="A28" s="226" t="s">
        <v>312</v>
      </c>
      <c r="B28" s="210" t="s">
        <v>310</v>
      </c>
      <c r="C28" s="211">
        <v>-117339</v>
      </c>
      <c r="D28" s="211">
        <v>-135386</v>
      </c>
    </row>
    <row r="29" spans="1:4" x14ac:dyDescent="0.25">
      <c r="A29" s="226" t="s">
        <v>314</v>
      </c>
      <c r="B29" s="210"/>
      <c r="C29" s="211">
        <v>-17495</v>
      </c>
      <c r="D29" s="211">
        <v>-15141</v>
      </c>
    </row>
    <row r="30" spans="1:4" x14ac:dyDescent="0.25">
      <c r="A30" s="205" t="s">
        <v>302</v>
      </c>
      <c r="B30" s="210"/>
      <c r="C30" s="221">
        <v>-2429558</v>
      </c>
      <c r="D30" s="221">
        <v>-345266</v>
      </c>
    </row>
    <row r="31" spans="1:4" x14ac:dyDescent="0.25">
      <c r="A31" s="225" t="s">
        <v>315</v>
      </c>
      <c r="B31" s="210" t="s">
        <v>310</v>
      </c>
      <c r="C31" s="211">
        <v>2860000</v>
      </c>
      <c r="D31" s="135">
        <v>0</v>
      </c>
    </row>
    <row r="32" spans="1:4" x14ac:dyDescent="0.25">
      <c r="A32" s="225" t="s">
        <v>530</v>
      </c>
      <c r="B32" s="210"/>
      <c r="C32" s="211">
        <v>916</v>
      </c>
      <c r="D32" s="135">
        <v>0</v>
      </c>
    </row>
    <row r="33" spans="1:4" x14ac:dyDescent="0.25">
      <c r="A33" s="227" t="s">
        <v>316</v>
      </c>
      <c r="B33" s="228"/>
      <c r="C33" s="229">
        <v>22101</v>
      </c>
      <c r="D33" s="229">
        <v>7696</v>
      </c>
    </row>
    <row r="34" spans="1:4" x14ac:dyDescent="0.25">
      <c r="A34" s="230" t="s">
        <v>306</v>
      </c>
      <c r="B34" s="231"/>
      <c r="C34" s="232">
        <v>2883017</v>
      </c>
      <c r="D34" s="232">
        <v>7696</v>
      </c>
    </row>
    <row r="35" spans="1:4" x14ac:dyDescent="0.25">
      <c r="A35" s="233" t="s">
        <v>317</v>
      </c>
      <c r="B35" s="234"/>
      <c r="C35" s="224">
        <v>453459</v>
      </c>
      <c r="D35" s="224">
        <v>-337570</v>
      </c>
    </row>
    <row r="36" spans="1:4" x14ac:dyDescent="0.25">
      <c r="A36" s="235" t="s">
        <v>318</v>
      </c>
      <c r="B36" s="223"/>
      <c r="C36" s="224">
        <v>-33742</v>
      </c>
      <c r="D36" s="224">
        <v>-529771</v>
      </c>
    </row>
    <row r="37" spans="1:4" x14ac:dyDescent="0.25">
      <c r="A37" s="236" t="s">
        <v>319</v>
      </c>
      <c r="B37" s="213"/>
      <c r="C37" s="211">
        <v>879</v>
      </c>
      <c r="D37" s="211">
        <v>314</v>
      </c>
    </row>
    <row r="38" spans="1:4" x14ac:dyDescent="0.25">
      <c r="A38" s="237" t="s">
        <v>320</v>
      </c>
      <c r="B38" s="238">
        <v>28</v>
      </c>
      <c r="C38" s="239">
        <v>327715</v>
      </c>
      <c r="D38" s="239">
        <v>1408071</v>
      </c>
    </row>
    <row r="39" spans="1:4" x14ac:dyDescent="0.25">
      <c r="A39" s="237" t="s">
        <v>321</v>
      </c>
      <c r="B39" s="238">
        <v>28</v>
      </c>
      <c r="C39" s="239">
        <v>293973</v>
      </c>
      <c r="D39" s="239">
        <v>878300</v>
      </c>
    </row>
    <row r="40" spans="1:4" ht="15.75" x14ac:dyDescent="0.25">
      <c r="A40" s="240" t="s">
        <v>322</v>
      </c>
      <c r="B40" s="231">
        <v>28</v>
      </c>
      <c r="C40" s="241">
        <v>179404</v>
      </c>
      <c r="D40" s="241">
        <v>164421</v>
      </c>
    </row>
  </sheetData>
  <customSheetViews>
    <customSheetView guid="{627AEB6E-B9F1-415E-9A60-881757A50C67}" scale="90" topLeftCell="A5">
      <selection activeCell="D45" sqref="D45"/>
      <pageMargins left="0.7" right="0.7" top="0.75" bottom="0.75" header="0.3" footer="0.3"/>
    </customSheetView>
    <customSheetView guid="{AAA495E0-27FD-4941-85B8-9038B6AD4FA3}" scale="90">
      <selection activeCell="H9" sqref="H9"/>
      <pageMargins left="0.7" right="0.7" top="0.75" bottom="0.75" header="0.3" footer="0.3"/>
    </customSheetView>
    <customSheetView guid="{874BA5F8-BD95-4DDF-8F31-98DB154CA965}" scale="90">
      <selection activeCell="I11" sqref="I11"/>
      <pageMargins left="0.7" right="0.7" top="0.75" bottom="0.75" header="0.3" footer="0.3"/>
    </customSheetView>
    <customSheetView guid="{77EFF5B1-32BE-4080-9902-B97F43099026}" scale="90" topLeftCell="A5">
      <selection activeCell="D45" sqref="D4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D159"/>
  <sheetViews>
    <sheetView zoomScale="90" zoomScaleNormal="90" workbookViewId="0">
      <pane xSplit="1" ySplit="4" topLeftCell="Y5" activePane="bottomRight" state="frozen"/>
      <selection pane="topRight" activeCell="B1" sqref="B1"/>
      <selection pane="bottomLeft" activeCell="A5" sqref="A5"/>
      <selection pane="bottomRight" activeCell="A22" sqref="A22"/>
    </sheetView>
  </sheetViews>
  <sheetFormatPr defaultColWidth="12.42578125" defaultRowHeight="15" x14ac:dyDescent="0.25"/>
  <cols>
    <col min="1" max="1" width="83.28515625" style="12" customWidth="1"/>
    <col min="2" max="16" width="21.5703125" style="12" customWidth="1"/>
    <col min="17" max="17" width="15.140625" style="12" customWidth="1"/>
    <col min="18" max="18" width="16.28515625" style="12" customWidth="1"/>
    <col min="19" max="19" width="18.140625" style="12" customWidth="1"/>
    <col min="20" max="20" width="16.85546875" style="12" customWidth="1"/>
    <col min="21" max="21" width="17.7109375" style="12" customWidth="1"/>
    <col min="22" max="27" width="16.7109375" style="12" customWidth="1"/>
    <col min="28" max="16384" width="12.42578125" style="12"/>
  </cols>
  <sheetData>
    <row r="1" spans="1:30" ht="27.95" customHeight="1" x14ac:dyDescent="0.25">
      <c r="A1" s="1" t="s">
        <v>323</v>
      </c>
      <c r="B1" s="242"/>
      <c r="C1" s="242"/>
      <c r="D1" s="242"/>
      <c r="E1" s="242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</row>
    <row r="2" spans="1:30" s="247" customFormat="1" ht="15" customHeight="1" x14ac:dyDescent="0.25">
      <c r="A2" s="244" t="s">
        <v>203</v>
      </c>
      <c r="B2" s="245"/>
      <c r="C2" s="245"/>
      <c r="D2" s="245"/>
      <c r="E2" s="245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</row>
    <row r="3" spans="1:30" ht="25.5" x14ac:dyDescent="0.25">
      <c r="A3" s="248" t="s">
        <v>86</v>
      </c>
      <c r="B3" s="111" t="s">
        <v>324</v>
      </c>
      <c r="C3" s="111" t="s">
        <v>325</v>
      </c>
      <c r="D3" s="111" t="s">
        <v>326</v>
      </c>
      <c r="E3" s="111" t="s">
        <v>327</v>
      </c>
      <c r="F3" s="111" t="s">
        <v>328</v>
      </c>
      <c r="G3" s="111" t="s">
        <v>329</v>
      </c>
      <c r="H3" s="249" t="s">
        <v>330</v>
      </c>
      <c r="I3" s="111" t="s">
        <v>331</v>
      </c>
      <c r="J3" s="111" t="s">
        <v>332</v>
      </c>
      <c r="K3" s="111" t="s">
        <v>333</v>
      </c>
      <c r="L3" s="111" t="s">
        <v>334</v>
      </c>
      <c r="M3" s="250" t="s">
        <v>335</v>
      </c>
      <c r="N3" s="111" t="s">
        <v>336</v>
      </c>
      <c r="O3" s="111" t="s">
        <v>337</v>
      </c>
      <c r="P3" s="111" t="s">
        <v>338</v>
      </c>
      <c r="Q3" s="251" t="s">
        <v>339</v>
      </c>
      <c r="R3" s="249" t="s">
        <v>340</v>
      </c>
      <c r="S3" s="249" t="s">
        <v>341</v>
      </c>
      <c r="T3" s="249" t="s">
        <v>342</v>
      </c>
      <c r="U3" s="249" t="s">
        <v>343</v>
      </c>
      <c r="V3" s="249" t="s">
        <v>344</v>
      </c>
      <c r="W3" s="249" t="s">
        <v>345</v>
      </c>
      <c r="X3" s="249" t="s">
        <v>346</v>
      </c>
      <c r="Y3" s="249" t="s">
        <v>347</v>
      </c>
      <c r="Z3" s="249" t="s">
        <v>348</v>
      </c>
      <c r="AA3" s="249" t="s">
        <v>531</v>
      </c>
    </row>
    <row r="4" spans="1:30" x14ac:dyDescent="0.25">
      <c r="A4" s="8"/>
      <c r="B4" s="252"/>
      <c r="C4" s="252"/>
      <c r="D4" s="252"/>
      <c r="E4" s="252"/>
      <c r="F4" s="252"/>
      <c r="G4" s="252"/>
      <c r="H4" s="178"/>
      <c r="I4" s="178"/>
      <c r="J4" s="178"/>
      <c r="K4" s="178"/>
      <c r="L4" s="178"/>
      <c r="M4" s="178"/>
      <c r="N4" s="178"/>
      <c r="O4" s="178"/>
      <c r="P4" s="178"/>
      <c r="T4" s="253"/>
    </row>
    <row r="5" spans="1:30" x14ac:dyDescent="0.25">
      <c r="A5" s="8" t="s">
        <v>205</v>
      </c>
      <c r="B5" s="252">
        <v>3794333</v>
      </c>
      <c r="C5" s="252">
        <v>3465956</v>
      </c>
      <c r="D5" s="252">
        <v>3690586</v>
      </c>
      <c r="E5" s="178">
        <v>4478004</v>
      </c>
      <c r="F5" s="252">
        <v>5299075</v>
      </c>
      <c r="G5" s="252">
        <v>5032069</v>
      </c>
      <c r="H5" s="178">
        <v>4835697</v>
      </c>
      <c r="I5" s="178">
        <v>5588381</v>
      </c>
      <c r="J5" s="178">
        <v>6454853</v>
      </c>
      <c r="K5" s="178">
        <v>5859133</v>
      </c>
      <c r="L5" s="178">
        <v>5900257</v>
      </c>
      <c r="M5" s="178">
        <v>6538742</v>
      </c>
      <c r="N5" s="178">
        <v>5164102</v>
      </c>
      <c r="O5" s="178">
        <f>4542422-32922</f>
        <v>4509500</v>
      </c>
      <c r="P5" s="254">
        <v>4540102</v>
      </c>
      <c r="Q5" s="178">
        <v>4921691</v>
      </c>
      <c r="R5" s="178">
        <v>4929101</v>
      </c>
      <c r="S5" s="178">
        <v>4376349</v>
      </c>
      <c r="T5" s="22">
        <v>4412231</v>
      </c>
      <c r="U5" s="178">
        <v>4837662</v>
      </c>
      <c r="V5" s="178">
        <v>4789785</v>
      </c>
      <c r="W5" s="178">
        <v>4466829</v>
      </c>
      <c r="X5" s="178">
        <v>4377627</v>
      </c>
      <c r="Y5" s="178">
        <v>4740983</v>
      </c>
      <c r="Z5" s="178">
        <v>4647035</v>
      </c>
      <c r="AA5" s="178">
        <v>4295822</v>
      </c>
      <c r="AB5" s="255"/>
      <c r="AC5" s="255"/>
    </row>
    <row r="6" spans="1:30" x14ac:dyDescent="0.25">
      <c r="A6" s="52" t="s">
        <v>206</v>
      </c>
      <c r="B6" s="252">
        <v>-3106970</v>
      </c>
      <c r="C6" s="252">
        <v>-2889658</v>
      </c>
      <c r="D6" s="252">
        <v>-3141138</v>
      </c>
      <c r="E6" s="178">
        <v>-3951362</v>
      </c>
      <c r="F6" s="252">
        <v>-4560882</v>
      </c>
      <c r="G6" s="252">
        <v>-4368268</v>
      </c>
      <c r="H6" s="178">
        <v>-4229239</v>
      </c>
      <c r="I6" s="178">
        <v>-5015965</v>
      </c>
      <c r="J6" s="178">
        <v>-5604614</v>
      </c>
      <c r="K6" s="178">
        <v>-4889291</v>
      </c>
      <c r="L6" s="178">
        <v>-5033062</v>
      </c>
      <c r="M6" s="178">
        <v>-5755087</v>
      </c>
      <c r="N6" s="178">
        <v>-4078650</v>
      </c>
      <c r="O6" s="178">
        <f>-3849397+32922</f>
        <v>-3816475</v>
      </c>
      <c r="P6" s="178">
        <v>-3728700</v>
      </c>
      <c r="Q6" s="178">
        <v>-4366636</v>
      </c>
      <c r="R6" s="178">
        <v>-4013978</v>
      </c>
      <c r="S6" s="178">
        <v>-3630345</v>
      </c>
      <c r="T6" s="178">
        <v>-3684221</v>
      </c>
      <c r="U6" s="178">
        <v>-4298099</v>
      </c>
      <c r="V6" s="178">
        <v>-3963914</v>
      </c>
      <c r="W6" s="178">
        <v>-3648361</v>
      </c>
      <c r="X6" s="178">
        <v>-3635702</v>
      </c>
      <c r="Y6" s="178">
        <v>-7892798</v>
      </c>
      <c r="Z6" s="178">
        <v>-3923059</v>
      </c>
      <c r="AA6" s="178">
        <v>-4363070</v>
      </c>
      <c r="AB6" s="255"/>
      <c r="AC6" s="255"/>
    </row>
    <row r="7" spans="1:30" x14ac:dyDescent="0.25">
      <c r="A7" s="8" t="s">
        <v>349</v>
      </c>
      <c r="B7" s="252">
        <v>687363</v>
      </c>
      <c r="C7" s="252">
        <v>576298</v>
      </c>
      <c r="D7" s="252">
        <v>549448</v>
      </c>
      <c r="E7" s="178">
        <v>526642</v>
      </c>
      <c r="F7" s="252">
        <v>738193</v>
      </c>
      <c r="G7" s="252">
        <v>663801</v>
      </c>
      <c r="H7" s="178">
        <v>606458</v>
      </c>
      <c r="I7" s="178">
        <v>572416</v>
      </c>
      <c r="J7" s="178">
        <v>850239</v>
      </c>
      <c r="K7" s="178">
        <v>969842</v>
      </c>
      <c r="L7" s="178">
        <v>867195</v>
      </c>
      <c r="M7" s="178">
        <v>783655</v>
      </c>
      <c r="N7" s="178">
        <v>1085452</v>
      </c>
      <c r="O7" s="178">
        <v>693025</v>
      </c>
      <c r="P7" s="178">
        <v>811402</v>
      </c>
      <c r="Q7" s="178">
        <v>555055</v>
      </c>
      <c r="R7" s="178">
        <v>915123</v>
      </c>
      <c r="S7" s="178">
        <v>746004</v>
      </c>
      <c r="T7" s="22">
        <v>728010</v>
      </c>
      <c r="U7" s="178">
        <v>539563</v>
      </c>
      <c r="V7" s="178">
        <v>825871</v>
      </c>
      <c r="W7" s="178">
        <v>818468</v>
      </c>
      <c r="X7" s="178">
        <v>741925</v>
      </c>
      <c r="Y7" s="178">
        <v>-3151815</v>
      </c>
      <c r="Z7" s="178">
        <v>723976</v>
      </c>
      <c r="AA7" s="178">
        <v>-67248</v>
      </c>
      <c r="AB7" s="255"/>
      <c r="AC7" s="255"/>
    </row>
    <row r="8" spans="1:30" x14ac:dyDescent="0.25">
      <c r="A8" s="52" t="s">
        <v>350</v>
      </c>
      <c r="B8" s="252">
        <v>31761</v>
      </c>
      <c r="C8" s="252">
        <v>20882</v>
      </c>
      <c r="D8" s="252">
        <v>19742</v>
      </c>
      <c r="E8" s="178">
        <v>32801</v>
      </c>
      <c r="F8" s="252">
        <v>19346</v>
      </c>
      <c r="G8" s="252">
        <v>25112</v>
      </c>
      <c r="H8" s="178">
        <v>21453</v>
      </c>
      <c r="I8" s="178">
        <v>33535</v>
      </c>
      <c r="J8" s="178">
        <v>26438</v>
      </c>
      <c r="K8" s="178">
        <v>22362</v>
      </c>
      <c r="L8" s="178">
        <v>28360</v>
      </c>
      <c r="M8" s="178">
        <v>41741</v>
      </c>
      <c r="N8" s="178">
        <v>26739</v>
      </c>
      <c r="O8" s="178">
        <v>36343</v>
      </c>
      <c r="P8" s="178">
        <v>21047</v>
      </c>
      <c r="Q8" s="178">
        <v>43307</v>
      </c>
      <c r="R8" s="178">
        <v>34668</v>
      </c>
      <c r="S8" s="178">
        <v>45133</v>
      </c>
      <c r="T8" s="22">
        <v>59201</v>
      </c>
      <c r="U8" s="178">
        <v>94304</v>
      </c>
      <c r="V8" s="178">
        <v>42808</v>
      </c>
      <c r="W8" s="178">
        <v>30514</v>
      </c>
      <c r="X8" s="178">
        <v>67797</v>
      </c>
      <c r="Y8" s="178">
        <v>30236</v>
      </c>
      <c r="Z8" s="178">
        <v>32775</v>
      </c>
      <c r="AA8" s="178">
        <v>26278</v>
      </c>
      <c r="AC8" s="255"/>
    </row>
    <row r="9" spans="1:30" x14ac:dyDescent="0.25">
      <c r="A9" s="52" t="s">
        <v>208</v>
      </c>
      <c r="B9" s="252">
        <v>-52512</v>
      </c>
      <c r="C9" s="252">
        <v>-56702</v>
      </c>
      <c r="D9" s="252">
        <v>-56309</v>
      </c>
      <c r="E9" s="178">
        <v>-65729</v>
      </c>
      <c r="F9" s="252">
        <v>-72231</v>
      </c>
      <c r="G9" s="252">
        <v>-78559</v>
      </c>
      <c r="H9" s="178">
        <v>-52175</v>
      </c>
      <c r="I9" s="178">
        <v>-80417</v>
      </c>
      <c r="J9" s="178">
        <v>-116780</v>
      </c>
      <c r="K9" s="178">
        <v>-114194</v>
      </c>
      <c r="L9" s="178">
        <v>-110857</v>
      </c>
      <c r="M9" s="178">
        <v>-210460</v>
      </c>
      <c r="N9" s="178">
        <v>-135865</v>
      </c>
      <c r="O9" s="178">
        <v>-134308</v>
      </c>
      <c r="P9" s="178">
        <v>-127343</v>
      </c>
      <c r="Q9" s="178">
        <v>-155986</v>
      </c>
      <c r="R9" s="178">
        <v>-123000</v>
      </c>
      <c r="S9" s="178">
        <v>-134189</v>
      </c>
      <c r="T9" s="178">
        <v>-144298</v>
      </c>
      <c r="U9" s="178">
        <v>-147677</v>
      </c>
      <c r="V9" s="178">
        <v>-107668</v>
      </c>
      <c r="W9" s="178">
        <v>-130164</v>
      </c>
      <c r="X9" s="178">
        <v>-122113</v>
      </c>
      <c r="Y9" s="178">
        <v>-128914</v>
      </c>
      <c r="Z9" s="178">
        <v>-110057</v>
      </c>
      <c r="AA9" s="178">
        <v>-110340</v>
      </c>
      <c r="AB9" s="255"/>
      <c r="AC9" s="255"/>
    </row>
    <row r="10" spans="1:30" x14ac:dyDescent="0.25">
      <c r="A10" s="52" t="s">
        <v>209</v>
      </c>
      <c r="B10" s="252">
        <v>-144596</v>
      </c>
      <c r="C10" s="252">
        <v>-196024</v>
      </c>
      <c r="D10" s="252">
        <v>-149663</v>
      </c>
      <c r="E10" s="178">
        <v>-180025</v>
      </c>
      <c r="F10" s="252">
        <v>-146521</v>
      </c>
      <c r="G10" s="252">
        <v>-162051</v>
      </c>
      <c r="H10" s="178">
        <v>-174890</v>
      </c>
      <c r="I10" s="178">
        <v>-180508</v>
      </c>
      <c r="J10" s="178">
        <v>-178971</v>
      </c>
      <c r="K10" s="178">
        <v>-160908</v>
      </c>
      <c r="L10" s="178">
        <v>-172242</v>
      </c>
      <c r="M10" s="178">
        <v>-222633</v>
      </c>
      <c r="N10" s="178">
        <v>-169590</v>
      </c>
      <c r="O10" s="178">
        <v>-172464</v>
      </c>
      <c r="P10" s="178">
        <v>-165231</v>
      </c>
      <c r="Q10" s="178">
        <v>-138121</v>
      </c>
      <c r="R10" s="178">
        <v>-167391</v>
      </c>
      <c r="S10" s="178">
        <v>-164808</v>
      </c>
      <c r="T10" s="178">
        <v>-159428</v>
      </c>
      <c r="U10" s="178">
        <v>-172560</v>
      </c>
      <c r="V10" s="178">
        <v>-156212</v>
      </c>
      <c r="W10" s="178">
        <v>-156612</v>
      </c>
      <c r="X10" s="178">
        <v>-153669</v>
      </c>
      <c r="Y10" s="178">
        <v>-152476</v>
      </c>
      <c r="Z10" s="178">
        <v>-167643</v>
      </c>
      <c r="AA10" s="178">
        <v>-150336</v>
      </c>
      <c r="AB10" s="255"/>
      <c r="AC10" s="255"/>
    </row>
    <row r="11" spans="1:30" x14ac:dyDescent="0.25">
      <c r="A11" s="52" t="s">
        <v>351</v>
      </c>
      <c r="B11" s="252">
        <v>-45970</v>
      </c>
      <c r="C11" s="252">
        <v>-37749</v>
      </c>
      <c r="D11" s="252">
        <v>-18041</v>
      </c>
      <c r="E11" s="178">
        <v>-42358</v>
      </c>
      <c r="F11" s="252">
        <v>-27792</v>
      </c>
      <c r="G11" s="252">
        <v>-21220</v>
      </c>
      <c r="H11" s="178">
        <v>-17984</v>
      </c>
      <c r="I11" s="178">
        <v>-20462</v>
      </c>
      <c r="J11" s="178">
        <v>-22386</v>
      </c>
      <c r="K11" s="178">
        <v>-22237</v>
      </c>
      <c r="L11" s="178">
        <v>-33285</v>
      </c>
      <c r="M11" s="178">
        <v>-59750</v>
      </c>
      <c r="N11" s="178">
        <v>-17336</v>
      </c>
      <c r="O11" s="178">
        <v>-22222</v>
      </c>
      <c r="P11" s="178">
        <v>-16273</v>
      </c>
      <c r="Q11" s="178">
        <v>-79292</v>
      </c>
      <c r="R11" s="178">
        <v>-26966</v>
      </c>
      <c r="S11" s="178">
        <v>-42120</v>
      </c>
      <c r="T11" s="178">
        <v>-18998</v>
      </c>
      <c r="U11" s="178">
        <v>-30458</v>
      </c>
      <c r="V11" s="178">
        <v>-19228</v>
      </c>
      <c r="W11" s="178">
        <v>-103475</v>
      </c>
      <c r="X11" s="178">
        <v>-45982</v>
      </c>
      <c r="Y11" s="178">
        <v>-30432</v>
      </c>
      <c r="Z11" s="254">
        <v>-23069</v>
      </c>
      <c r="AA11" s="254">
        <v>-20691</v>
      </c>
      <c r="AB11" s="255"/>
      <c r="AC11" s="255"/>
      <c r="AD11" s="375"/>
    </row>
    <row r="12" spans="1:30" x14ac:dyDescent="0.25">
      <c r="A12" s="8" t="s">
        <v>352</v>
      </c>
      <c r="B12" s="252">
        <v>476046</v>
      </c>
      <c r="C12" s="252">
        <v>306705</v>
      </c>
      <c r="D12" s="252">
        <v>345177</v>
      </c>
      <c r="E12" s="178">
        <v>271331</v>
      </c>
      <c r="F12" s="252">
        <v>510995</v>
      </c>
      <c r="G12" s="252">
        <v>427083</v>
      </c>
      <c r="H12" s="178">
        <v>382862</v>
      </c>
      <c r="I12" s="178">
        <v>324564</v>
      </c>
      <c r="J12" s="178">
        <v>558540</v>
      </c>
      <c r="K12" s="178">
        <v>694865</v>
      </c>
      <c r="L12" s="178">
        <v>579171</v>
      </c>
      <c r="M12" s="178">
        <v>332553</v>
      </c>
      <c r="N12" s="178">
        <v>789400</v>
      </c>
      <c r="O12" s="178">
        <v>400374</v>
      </c>
      <c r="P12" s="178">
        <v>523602</v>
      </c>
      <c r="Q12" s="178">
        <v>224963</v>
      </c>
      <c r="R12" s="178">
        <v>632434</v>
      </c>
      <c r="S12" s="178">
        <v>450020</v>
      </c>
      <c r="T12" s="22">
        <v>464487</v>
      </c>
      <c r="U12" s="178">
        <v>283172</v>
      </c>
      <c r="V12" s="178">
        <v>585571</v>
      </c>
      <c r="W12" s="178">
        <v>458731</v>
      </c>
      <c r="X12" s="178">
        <v>487958</v>
      </c>
      <c r="Y12" s="178">
        <v>-3433401</v>
      </c>
      <c r="Z12" s="178">
        <v>455982</v>
      </c>
      <c r="AA12" s="178">
        <v>-322337</v>
      </c>
      <c r="AB12" s="255"/>
      <c r="AC12" s="255"/>
    </row>
    <row r="13" spans="1:30" x14ac:dyDescent="0.25">
      <c r="A13" s="52" t="s">
        <v>213</v>
      </c>
      <c r="B13" s="252">
        <v>26239</v>
      </c>
      <c r="C13" s="252">
        <v>17544</v>
      </c>
      <c r="D13" s="252">
        <v>21350</v>
      </c>
      <c r="E13" s="178">
        <v>27151</v>
      </c>
      <c r="F13" s="252">
        <v>22479</v>
      </c>
      <c r="G13" s="252">
        <v>32342</v>
      </c>
      <c r="H13" s="178">
        <v>28441</v>
      </c>
      <c r="I13" s="178">
        <v>32505</v>
      </c>
      <c r="J13" s="178">
        <v>31877</v>
      </c>
      <c r="K13" s="178">
        <v>21460</v>
      </c>
      <c r="L13" s="178">
        <v>43543</v>
      </c>
      <c r="M13" s="178">
        <v>34426</v>
      </c>
      <c r="N13" s="178">
        <v>27038</v>
      </c>
      <c r="O13" s="178">
        <v>31625</v>
      </c>
      <c r="P13" s="178">
        <v>17422</v>
      </c>
      <c r="Q13" s="178">
        <v>23172</v>
      </c>
      <c r="R13" s="178">
        <v>13071</v>
      </c>
      <c r="S13" s="178">
        <v>15890</v>
      </c>
      <c r="T13" s="22">
        <v>12597</v>
      </c>
      <c r="U13" s="178">
        <v>44640</v>
      </c>
      <c r="V13" s="178">
        <v>59058</v>
      </c>
      <c r="W13" s="178">
        <v>-16980</v>
      </c>
      <c r="X13" s="178">
        <v>17628</v>
      </c>
      <c r="Y13" s="178">
        <v>13746</v>
      </c>
      <c r="Z13" s="178">
        <v>29193</v>
      </c>
      <c r="AA13" s="178">
        <v>26746</v>
      </c>
      <c r="AB13" s="255"/>
      <c r="AC13" s="255"/>
    </row>
    <row r="14" spans="1:30" x14ac:dyDescent="0.25">
      <c r="A14" s="52" t="s">
        <v>353</v>
      </c>
      <c r="B14" s="252">
        <v>-52556</v>
      </c>
      <c r="C14" s="252">
        <v>-52520</v>
      </c>
      <c r="D14" s="252">
        <v>-42405</v>
      </c>
      <c r="E14" s="178">
        <v>-86512</v>
      </c>
      <c r="F14" s="252">
        <v>-46437</v>
      </c>
      <c r="G14" s="252">
        <v>-31058</v>
      </c>
      <c r="H14" s="178">
        <v>-44508</v>
      </c>
      <c r="I14" s="178">
        <v>-38271</v>
      </c>
      <c r="J14" s="178">
        <v>-91205</v>
      </c>
      <c r="K14" s="178">
        <v>-72510</v>
      </c>
      <c r="L14" s="178">
        <v>-85526</v>
      </c>
      <c r="M14" s="178">
        <v>-97883</v>
      </c>
      <c r="N14" s="178">
        <v>-78442</v>
      </c>
      <c r="O14" s="178">
        <v>-82427</v>
      </c>
      <c r="P14" s="178">
        <v>-81285</v>
      </c>
      <c r="Q14" s="178">
        <v>-104839</v>
      </c>
      <c r="R14" s="178">
        <v>-87509</v>
      </c>
      <c r="S14" s="178">
        <v>-97587</v>
      </c>
      <c r="T14" s="178">
        <v>-89731</v>
      </c>
      <c r="U14" s="178">
        <v>-142333</v>
      </c>
      <c r="V14" s="178">
        <v>-90656</v>
      </c>
      <c r="W14" s="178">
        <v>-141791</v>
      </c>
      <c r="X14" s="178">
        <v>-46150</v>
      </c>
      <c r="Y14" s="178">
        <v>-89418</v>
      </c>
      <c r="Z14" s="178">
        <v>-96615</v>
      </c>
      <c r="AA14" s="178">
        <v>-120155</v>
      </c>
      <c r="AB14" s="255"/>
      <c r="AC14" s="255"/>
    </row>
    <row r="15" spans="1:30" x14ac:dyDescent="0.25">
      <c r="A15" s="52" t="s">
        <v>354</v>
      </c>
      <c r="B15" s="256">
        <v>0</v>
      </c>
      <c r="C15" s="256">
        <v>0</v>
      </c>
      <c r="D15" s="256">
        <v>0</v>
      </c>
      <c r="E15" s="178">
        <v>-236</v>
      </c>
      <c r="F15" s="252">
        <v>-297</v>
      </c>
      <c r="G15" s="252">
        <v>-242</v>
      </c>
      <c r="H15" s="178">
        <v>-188</v>
      </c>
      <c r="I15" s="178">
        <v>-319</v>
      </c>
      <c r="J15" s="178">
        <v>-354</v>
      </c>
      <c r="K15" s="178">
        <v>-317</v>
      </c>
      <c r="L15" s="178">
        <v>-302</v>
      </c>
      <c r="M15" s="178">
        <v>-761</v>
      </c>
      <c r="N15" s="178">
        <v>-869</v>
      </c>
      <c r="O15" s="178">
        <v>-545</v>
      </c>
      <c r="P15" s="178">
        <v>-506</v>
      </c>
      <c r="Q15" s="178">
        <v>-789</v>
      </c>
      <c r="R15" s="178">
        <v>-406</v>
      </c>
      <c r="S15" s="178">
        <v>-370</v>
      </c>
      <c r="T15" s="178">
        <v>-400</v>
      </c>
      <c r="U15" s="178">
        <v>240</v>
      </c>
      <c r="V15" s="178">
        <v>20400</v>
      </c>
      <c r="W15" s="178">
        <v>-15530</v>
      </c>
      <c r="X15" s="178">
        <v>-4560</v>
      </c>
      <c r="Y15" s="178">
        <v>7623</v>
      </c>
      <c r="Z15" s="178">
        <v>23035</v>
      </c>
      <c r="AA15" s="178">
        <v>36826</v>
      </c>
      <c r="AB15" s="255"/>
      <c r="AC15" s="255"/>
    </row>
    <row r="16" spans="1:30" x14ac:dyDescent="0.25">
      <c r="A16" s="8" t="s">
        <v>355</v>
      </c>
      <c r="B16" s="252">
        <v>449729</v>
      </c>
      <c r="C16" s="252">
        <v>271729</v>
      </c>
      <c r="D16" s="252">
        <v>324122</v>
      </c>
      <c r="E16" s="178">
        <v>211734</v>
      </c>
      <c r="F16" s="252">
        <v>486740</v>
      </c>
      <c r="G16" s="252">
        <v>428125</v>
      </c>
      <c r="H16" s="178">
        <v>366607</v>
      </c>
      <c r="I16" s="178">
        <v>318479</v>
      </c>
      <c r="J16" s="178">
        <v>498858</v>
      </c>
      <c r="K16" s="178">
        <v>643498</v>
      </c>
      <c r="L16" s="178">
        <v>536886</v>
      </c>
      <c r="M16" s="178">
        <v>268335</v>
      </c>
      <c r="N16" s="178">
        <v>737127</v>
      </c>
      <c r="O16" s="178">
        <v>349027</v>
      </c>
      <c r="P16" s="178">
        <v>459233</v>
      </c>
      <c r="Q16" s="178">
        <v>142507</v>
      </c>
      <c r="R16" s="178">
        <v>557590</v>
      </c>
      <c r="S16" s="178">
        <v>367953</v>
      </c>
      <c r="T16" s="22">
        <v>386953</v>
      </c>
      <c r="U16" s="178">
        <v>185719</v>
      </c>
      <c r="V16" s="178">
        <v>574373</v>
      </c>
      <c r="W16" s="178">
        <v>284430</v>
      </c>
      <c r="X16" s="178">
        <v>454876</v>
      </c>
      <c r="Y16" s="178">
        <v>-3501450</v>
      </c>
      <c r="Z16" s="178">
        <v>411595</v>
      </c>
      <c r="AA16" s="178">
        <v>-378920</v>
      </c>
      <c r="AB16" s="255"/>
      <c r="AC16" s="255"/>
    </row>
    <row r="17" spans="1:29" x14ac:dyDescent="0.25">
      <c r="A17" s="52" t="s">
        <v>217</v>
      </c>
      <c r="B17" s="252">
        <v>-90142</v>
      </c>
      <c r="C17" s="252">
        <v>-58355</v>
      </c>
      <c r="D17" s="252">
        <v>-72019</v>
      </c>
      <c r="E17" s="178">
        <v>-45415</v>
      </c>
      <c r="F17" s="252">
        <v>-98769</v>
      </c>
      <c r="G17" s="252">
        <v>-88149</v>
      </c>
      <c r="H17" s="178">
        <v>-74198</v>
      </c>
      <c r="I17" s="178">
        <v>-71901</v>
      </c>
      <c r="J17" s="178">
        <v>-104161</v>
      </c>
      <c r="K17" s="178">
        <v>-147974</v>
      </c>
      <c r="L17" s="178">
        <v>-94038</v>
      </c>
      <c r="M17" s="178">
        <v>-50605</v>
      </c>
      <c r="N17" s="178">
        <v>-156329</v>
      </c>
      <c r="O17" s="178">
        <v>-37943</v>
      </c>
      <c r="P17" s="178">
        <v>-86928</v>
      </c>
      <c r="Q17" s="178">
        <v>-56748</v>
      </c>
      <c r="R17" s="178">
        <v>-158904</v>
      </c>
      <c r="S17" s="178">
        <v>-32717</v>
      </c>
      <c r="T17" s="178">
        <v>-67817</v>
      </c>
      <c r="U17" s="178">
        <v>-53217</v>
      </c>
      <c r="V17" s="178">
        <v>-71643</v>
      </c>
      <c r="W17" s="178">
        <v>-66773</v>
      </c>
      <c r="X17" s="178">
        <v>-96108</v>
      </c>
      <c r="Y17" s="257">
        <v>618080</v>
      </c>
      <c r="Z17" s="171">
        <v>-87789</v>
      </c>
      <c r="AA17" s="171">
        <v>59831</v>
      </c>
      <c r="AB17" s="255"/>
      <c r="AC17" s="255"/>
    </row>
    <row r="18" spans="1:29" x14ac:dyDescent="0.25">
      <c r="A18" s="258" t="s">
        <v>356</v>
      </c>
      <c r="B18" s="259">
        <v>359587</v>
      </c>
      <c r="C18" s="259">
        <v>213374</v>
      </c>
      <c r="D18" s="259">
        <v>252103</v>
      </c>
      <c r="E18" s="260">
        <v>166319</v>
      </c>
      <c r="F18" s="259">
        <v>387971</v>
      </c>
      <c r="G18" s="259">
        <v>339976</v>
      </c>
      <c r="H18" s="260">
        <v>292409</v>
      </c>
      <c r="I18" s="260">
        <v>246578</v>
      </c>
      <c r="J18" s="260">
        <v>394697</v>
      </c>
      <c r="K18" s="260">
        <v>495524</v>
      </c>
      <c r="L18" s="260">
        <v>442848</v>
      </c>
      <c r="M18" s="260">
        <v>217730</v>
      </c>
      <c r="N18" s="260">
        <v>580798</v>
      </c>
      <c r="O18" s="260">
        <v>311084</v>
      </c>
      <c r="P18" s="260">
        <v>372305</v>
      </c>
      <c r="Q18" s="260">
        <v>85759</v>
      </c>
      <c r="R18" s="260">
        <v>398686</v>
      </c>
      <c r="S18" s="260">
        <v>335236</v>
      </c>
      <c r="T18" s="261">
        <v>319136</v>
      </c>
      <c r="U18" s="261">
        <v>132502</v>
      </c>
      <c r="V18" s="261">
        <v>502730</v>
      </c>
      <c r="W18" s="261">
        <v>217657</v>
      </c>
      <c r="X18" s="261">
        <v>358768</v>
      </c>
      <c r="Y18" s="178">
        <v>-2883370</v>
      </c>
      <c r="Z18" s="260">
        <v>323806</v>
      </c>
      <c r="AA18" s="260">
        <v>-319089</v>
      </c>
      <c r="AB18" s="255"/>
      <c r="AC18" s="255"/>
    </row>
    <row r="19" spans="1:29" x14ac:dyDescent="0.25">
      <c r="A19" s="8"/>
      <c r="B19" s="252"/>
      <c r="C19" s="262"/>
      <c r="D19" s="262"/>
      <c r="E19" s="262"/>
      <c r="F19" s="262"/>
      <c r="G19" s="262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4"/>
      <c r="S19" s="264"/>
      <c r="T19" s="264"/>
      <c r="U19" s="265"/>
      <c r="V19" s="265"/>
      <c r="W19" s="265"/>
      <c r="X19" s="265"/>
      <c r="Y19" s="265"/>
      <c r="Z19" s="265"/>
      <c r="AA19" s="265"/>
    </row>
    <row r="20" spans="1:29" x14ac:dyDescent="0.25">
      <c r="A20" s="14" t="s">
        <v>357</v>
      </c>
      <c r="B20" s="266"/>
      <c r="C20" s="267"/>
      <c r="D20" s="267"/>
      <c r="E20" s="267"/>
      <c r="F20" s="267"/>
      <c r="G20" s="267"/>
      <c r="H20" s="178"/>
      <c r="I20" s="178"/>
      <c r="J20" s="178"/>
      <c r="K20" s="178"/>
      <c r="L20" s="178"/>
      <c r="M20" s="178"/>
      <c r="N20" s="178"/>
      <c r="O20" s="178"/>
      <c r="P20" s="178"/>
      <c r="T20" s="22"/>
      <c r="U20" s="268"/>
      <c r="V20" s="268"/>
      <c r="W20" s="268"/>
      <c r="X20" s="268"/>
      <c r="Y20" s="268"/>
      <c r="Z20" s="268"/>
      <c r="AA20" s="268"/>
    </row>
    <row r="21" spans="1:29" x14ac:dyDescent="0.25">
      <c r="A21" s="65" t="s">
        <v>358</v>
      </c>
      <c r="B21" s="269">
        <v>0</v>
      </c>
      <c r="C21" s="269">
        <v>0</v>
      </c>
      <c r="D21" s="269">
        <v>0</v>
      </c>
      <c r="E21" s="269">
        <v>0</v>
      </c>
      <c r="F21" s="270">
        <v>0</v>
      </c>
      <c r="G21" s="270">
        <v>0</v>
      </c>
      <c r="H21" s="270">
        <v>0</v>
      </c>
      <c r="I21" s="270">
        <v>0</v>
      </c>
      <c r="J21" s="270">
        <v>0</v>
      </c>
      <c r="K21" s="178">
        <v>11393</v>
      </c>
      <c r="L21" s="178">
        <v>-11393</v>
      </c>
      <c r="M21" s="268">
        <v>0</v>
      </c>
      <c r="N21" s="268">
        <v>0</v>
      </c>
      <c r="O21" s="268">
        <v>0</v>
      </c>
      <c r="P21" s="268">
        <v>0</v>
      </c>
      <c r="Q21" s="268">
        <v>0</v>
      </c>
      <c r="R21" s="268">
        <v>0</v>
      </c>
      <c r="S21" s="268">
        <v>0</v>
      </c>
      <c r="T21" s="268">
        <v>0</v>
      </c>
      <c r="U21" s="268">
        <v>0</v>
      </c>
      <c r="V21" s="268">
        <v>0</v>
      </c>
      <c r="W21" s="268">
        <v>0</v>
      </c>
      <c r="X21" s="268">
        <v>0</v>
      </c>
      <c r="Y21" s="268">
        <v>0</v>
      </c>
      <c r="Z21" s="376" t="s">
        <v>74</v>
      </c>
      <c r="AA21" s="376" t="s">
        <v>74</v>
      </c>
    </row>
    <row r="22" spans="1:29" x14ac:dyDescent="0.25">
      <c r="A22" s="65" t="s">
        <v>359</v>
      </c>
      <c r="B22" s="267">
        <v>-7948</v>
      </c>
      <c r="C22" s="270">
        <v>62</v>
      </c>
      <c r="D22" s="267">
        <v>-4295</v>
      </c>
      <c r="E22" s="267">
        <v>13293</v>
      </c>
      <c r="F22" s="270">
        <v>0</v>
      </c>
      <c r="G22" s="270">
        <v>0</v>
      </c>
      <c r="H22" s="270">
        <v>0</v>
      </c>
      <c r="I22" s="270">
        <v>0</v>
      </c>
      <c r="J22" s="178">
        <v>-11835</v>
      </c>
      <c r="K22" s="178">
        <v>-28306</v>
      </c>
      <c r="L22" s="178">
        <v>-49222</v>
      </c>
      <c r="M22" s="178">
        <v>-100393</v>
      </c>
      <c r="N22" s="178">
        <v>3331</v>
      </c>
      <c r="O22" s="178">
        <v>33513</v>
      </c>
      <c r="P22" s="178">
        <v>7029</v>
      </c>
      <c r="Q22" s="178">
        <v>-10476</v>
      </c>
      <c r="R22" s="178">
        <v>7607</v>
      </c>
      <c r="S22" s="178">
        <v>-30069</v>
      </c>
      <c r="T22" s="178">
        <v>-16014</v>
      </c>
      <c r="U22" s="178">
        <v>18269</v>
      </c>
      <c r="V22" s="178">
        <v>15514</v>
      </c>
      <c r="W22" s="178">
        <v>33114</v>
      </c>
      <c r="X22" s="178">
        <v>13426</v>
      </c>
      <c r="Y22" s="178">
        <v>23878</v>
      </c>
      <c r="Z22" s="178">
        <v>25149</v>
      </c>
      <c r="AA22" s="178">
        <v>23697</v>
      </c>
      <c r="AB22" s="255"/>
      <c r="AC22" s="255"/>
    </row>
    <row r="23" spans="1:29" x14ac:dyDescent="0.25">
      <c r="A23" s="65" t="s">
        <v>360</v>
      </c>
      <c r="B23" s="267" t="s">
        <v>361</v>
      </c>
      <c r="C23" s="267" t="s">
        <v>361</v>
      </c>
      <c r="D23" s="267" t="s">
        <v>361</v>
      </c>
      <c r="E23" s="267" t="s">
        <v>361</v>
      </c>
      <c r="F23" s="267" t="s">
        <v>361</v>
      </c>
      <c r="G23" s="267" t="s">
        <v>361</v>
      </c>
      <c r="H23" s="267" t="s">
        <v>361</v>
      </c>
      <c r="I23" s="178">
        <v>37149</v>
      </c>
      <c r="J23" s="178">
        <v>2346</v>
      </c>
      <c r="K23" s="178">
        <v>-9382</v>
      </c>
      <c r="L23" s="178">
        <v>7002</v>
      </c>
      <c r="M23" s="178">
        <v>-221040</v>
      </c>
      <c r="N23" s="178">
        <v>7399</v>
      </c>
      <c r="O23" s="178">
        <v>-2008</v>
      </c>
      <c r="P23" s="178">
        <v>8655</v>
      </c>
      <c r="Q23" s="178">
        <v>7801</v>
      </c>
      <c r="R23" s="178">
        <v>9568</v>
      </c>
      <c r="S23" s="178">
        <v>-2925</v>
      </c>
      <c r="T23" s="178">
        <v>10289</v>
      </c>
      <c r="U23" s="178">
        <v>-355526</v>
      </c>
      <c r="V23" s="178">
        <v>2615</v>
      </c>
      <c r="W23" s="178">
        <v>-1014</v>
      </c>
      <c r="X23" s="178">
        <v>6657</v>
      </c>
      <c r="Y23" s="178">
        <v>55878</v>
      </c>
      <c r="Z23" s="178">
        <v>-2484</v>
      </c>
      <c r="AA23" s="178">
        <v>1096</v>
      </c>
      <c r="AB23" s="255"/>
      <c r="AC23" s="255"/>
    </row>
    <row r="24" spans="1:29" x14ac:dyDescent="0.25">
      <c r="A24" s="65" t="s">
        <v>220</v>
      </c>
      <c r="B24" s="269">
        <v>0</v>
      </c>
      <c r="C24" s="269">
        <v>0</v>
      </c>
      <c r="D24" s="267">
        <v>-213</v>
      </c>
      <c r="E24" s="267">
        <v>-58</v>
      </c>
      <c r="F24" s="267">
        <v>121</v>
      </c>
      <c r="G24" s="267">
        <v>30</v>
      </c>
      <c r="H24" s="267">
        <v>618</v>
      </c>
      <c r="I24" s="178">
        <v>-411</v>
      </c>
      <c r="J24" s="178">
        <v>-147</v>
      </c>
      <c r="K24" s="178">
        <v>-104</v>
      </c>
      <c r="L24" s="178">
        <v>-186</v>
      </c>
      <c r="M24" s="178">
        <v>-20</v>
      </c>
      <c r="N24" s="178">
        <v>-72</v>
      </c>
      <c r="O24" s="178">
        <v>431</v>
      </c>
      <c r="P24" s="178">
        <v>-278</v>
      </c>
      <c r="Q24" s="178">
        <v>-1342</v>
      </c>
      <c r="R24" s="178">
        <v>78</v>
      </c>
      <c r="S24" s="178">
        <v>-37</v>
      </c>
      <c r="T24" s="178">
        <v>18</v>
      </c>
      <c r="U24" s="178">
        <v>186</v>
      </c>
      <c r="V24" s="178">
        <v>-508</v>
      </c>
      <c r="W24" s="178">
        <v>536</v>
      </c>
      <c r="X24" s="178">
        <v>259</v>
      </c>
      <c r="Y24" s="178">
        <v>308</v>
      </c>
      <c r="Z24" s="178">
        <v>-4</v>
      </c>
      <c r="AA24" s="178">
        <v>9926</v>
      </c>
      <c r="AB24" s="255"/>
      <c r="AC24" s="255"/>
    </row>
    <row r="25" spans="1:29" x14ac:dyDescent="0.25">
      <c r="A25" s="65" t="s">
        <v>362</v>
      </c>
      <c r="B25" s="267">
        <v>1510</v>
      </c>
      <c r="C25" s="267">
        <v>-12</v>
      </c>
      <c r="D25" s="267">
        <v>816</v>
      </c>
      <c r="E25" s="267">
        <v>-2525</v>
      </c>
      <c r="F25" s="269">
        <v>0</v>
      </c>
      <c r="G25" s="269">
        <v>0</v>
      </c>
      <c r="H25" s="269">
        <v>0</v>
      </c>
      <c r="I25" s="178">
        <v>-7058</v>
      </c>
      <c r="J25" s="178">
        <v>1803</v>
      </c>
      <c r="K25" s="178">
        <v>4996</v>
      </c>
      <c r="L25" s="178">
        <v>10186</v>
      </c>
      <c r="M25" s="178">
        <v>60708</v>
      </c>
      <c r="N25" s="178">
        <v>-2039</v>
      </c>
      <c r="O25" s="178">
        <v>-5984</v>
      </c>
      <c r="P25" s="178">
        <v>-2983</v>
      </c>
      <c r="Q25" s="178">
        <v>511</v>
      </c>
      <c r="R25" s="178">
        <v>-3261</v>
      </c>
      <c r="S25" s="178">
        <v>6269</v>
      </c>
      <c r="T25" s="178">
        <v>1087</v>
      </c>
      <c r="U25" s="178">
        <v>64077</v>
      </c>
      <c r="V25" s="178">
        <v>-3443</v>
      </c>
      <c r="W25" s="178">
        <v>-6103</v>
      </c>
      <c r="X25" s="178">
        <v>-3812</v>
      </c>
      <c r="Y25" s="178">
        <v>-15229</v>
      </c>
      <c r="Z25" s="178">
        <v>-4300</v>
      </c>
      <c r="AA25" s="178">
        <v>-4711</v>
      </c>
      <c r="AB25" s="255"/>
      <c r="AC25" s="255"/>
    </row>
    <row r="26" spans="1:29" x14ac:dyDescent="0.25">
      <c r="A26" s="20" t="s">
        <v>363</v>
      </c>
      <c r="B26" s="267">
        <v>-6438</v>
      </c>
      <c r="C26" s="267">
        <v>50</v>
      </c>
      <c r="D26" s="267">
        <v>-3692</v>
      </c>
      <c r="E26" s="267">
        <v>10710</v>
      </c>
      <c r="F26" s="267">
        <v>121</v>
      </c>
      <c r="G26" s="267">
        <v>30</v>
      </c>
      <c r="H26" s="267">
        <v>618</v>
      </c>
      <c r="I26" s="178">
        <v>29680</v>
      </c>
      <c r="J26" s="178">
        <v>-7833</v>
      </c>
      <c r="K26" s="178">
        <v>-21403</v>
      </c>
      <c r="L26" s="178">
        <v>-43613</v>
      </c>
      <c r="M26" s="178">
        <v>-260745</v>
      </c>
      <c r="N26" s="178">
        <v>8619</v>
      </c>
      <c r="O26" s="178">
        <v>25952</v>
      </c>
      <c r="P26" s="178">
        <v>12423</v>
      </c>
      <c r="Q26" s="178">
        <v>-3506</v>
      </c>
      <c r="R26" s="178">
        <v>13992</v>
      </c>
      <c r="S26" s="178">
        <v>-26762</v>
      </c>
      <c r="T26" s="178">
        <v>-4620</v>
      </c>
      <c r="U26" s="178">
        <v>-272994</v>
      </c>
      <c r="V26" s="178">
        <v>14178</v>
      </c>
      <c r="W26" s="178">
        <v>26533</v>
      </c>
      <c r="X26" s="178">
        <v>16530</v>
      </c>
      <c r="Y26" s="178">
        <v>64835</v>
      </c>
      <c r="Z26" s="178">
        <v>18361</v>
      </c>
      <c r="AA26" s="178">
        <v>30008</v>
      </c>
      <c r="AB26" s="255"/>
      <c r="AC26" s="255"/>
    </row>
    <row r="27" spans="1:29" x14ac:dyDescent="0.25">
      <c r="A27" s="20" t="s">
        <v>364</v>
      </c>
      <c r="B27" s="267">
        <v>353149</v>
      </c>
      <c r="C27" s="267">
        <v>213424</v>
      </c>
      <c r="D27" s="267">
        <v>248411</v>
      </c>
      <c r="E27" s="267">
        <v>177029</v>
      </c>
      <c r="F27" s="267">
        <v>388092</v>
      </c>
      <c r="G27" s="267">
        <v>340006</v>
      </c>
      <c r="H27" s="267">
        <v>293027</v>
      </c>
      <c r="I27" s="178">
        <v>276258</v>
      </c>
      <c r="J27" s="178">
        <v>386864</v>
      </c>
      <c r="K27" s="178">
        <v>474121</v>
      </c>
      <c r="L27" s="178">
        <v>399235</v>
      </c>
      <c r="M27" s="178">
        <v>-43015</v>
      </c>
      <c r="N27" s="178">
        <v>589417</v>
      </c>
      <c r="O27" s="178">
        <v>337036</v>
      </c>
      <c r="P27" s="178">
        <v>384728</v>
      </c>
      <c r="Q27" s="178">
        <v>82253</v>
      </c>
      <c r="R27" s="178">
        <v>412678</v>
      </c>
      <c r="S27" s="178">
        <v>308474</v>
      </c>
      <c r="T27" s="178">
        <v>314516</v>
      </c>
      <c r="U27" s="178">
        <v>-140492</v>
      </c>
      <c r="V27" s="178">
        <v>516908</v>
      </c>
      <c r="W27" s="178">
        <v>244190</v>
      </c>
      <c r="X27" s="178">
        <v>375298</v>
      </c>
      <c r="Y27" s="178">
        <v>-2818535</v>
      </c>
      <c r="Z27" s="178">
        <v>342167</v>
      </c>
      <c r="AA27" s="178">
        <v>-289081</v>
      </c>
      <c r="AB27" s="255"/>
      <c r="AC27" s="255"/>
    </row>
    <row r="28" spans="1:29" x14ac:dyDescent="0.25">
      <c r="A28" s="20" t="s">
        <v>365</v>
      </c>
      <c r="B28" s="267"/>
      <c r="C28" s="267"/>
      <c r="D28" s="267"/>
      <c r="E28" s="267"/>
      <c r="F28" s="267"/>
      <c r="G28" s="267"/>
      <c r="H28" s="267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268"/>
      <c r="V28" s="268"/>
      <c r="W28" s="268"/>
      <c r="X28" s="268"/>
      <c r="Y28" s="268"/>
      <c r="Z28" s="268"/>
      <c r="AA28" s="268"/>
      <c r="AC28" s="255"/>
    </row>
    <row r="29" spans="1:29" x14ac:dyDescent="0.25">
      <c r="A29" s="65" t="s">
        <v>229</v>
      </c>
      <c r="B29" s="267">
        <v>291813</v>
      </c>
      <c r="C29" s="267">
        <v>189954</v>
      </c>
      <c r="D29" s="267">
        <v>219831</v>
      </c>
      <c r="E29" s="267">
        <v>157058</v>
      </c>
      <c r="F29" s="267">
        <v>382471</v>
      </c>
      <c r="G29" s="267">
        <v>321562</v>
      </c>
      <c r="H29" s="267">
        <v>290471</v>
      </c>
      <c r="I29" s="178">
        <v>250612</v>
      </c>
      <c r="J29" s="178">
        <v>381164</v>
      </c>
      <c r="K29" s="178">
        <v>475837</v>
      </c>
      <c r="L29" s="178">
        <v>412197</v>
      </c>
      <c r="M29" s="178">
        <v>207194</v>
      </c>
      <c r="N29" s="178">
        <v>559158</v>
      </c>
      <c r="O29" s="178">
        <v>290074</v>
      </c>
      <c r="P29" s="178">
        <v>367062</v>
      </c>
      <c r="Q29" s="178">
        <v>95475</v>
      </c>
      <c r="R29" s="178">
        <v>395930</v>
      </c>
      <c r="S29" s="178">
        <v>334360</v>
      </c>
      <c r="T29" s="178">
        <v>318411</v>
      </c>
      <c r="U29" s="178">
        <v>132192</v>
      </c>
      <c r="V29" s="178">
        <v>502043</v>
      </c>
      <c r="W29" s="178">
        <v>216481</v>
      </c>
      <c r="X29" s="178">
        <v>358117</v>
      </c>
      <c r="Y29" s="178">
        <v>-2883958</v>
      </c>
      <c r="Z29" s="178">
        <v>323245</v>
      </c>
      <c r="AA29" s="178">
        <v>-319810</v>
      </c>
      <c r="AB29" s="255"/>
      <c r="AC29" s="255"/>
    </row>
    <row r="30" spans="1:29" x14ac:dyDescent="0.25">
      <c r="A30" s="65" t="s">
        <v>230</v>
      </c>
      <c r="B30" s="267">
        <v>67774</v>
      </c>
      <c r="C30" s="267">
        <v>23420</v>
      </c>
      <c r="D30" s="267">
        <v>32272</v>
      </c>
      <c r="E30" s="267">
        <v>9261</v>
      </c>
      <c r="F30" s="267">
        <v>5500</v>
      </c>
      <c r="G30" s="267">
        <v>18414</v>
      </c>
      <c r="H30" s="267">
        <v>1938</v>
      </c>
      <c r="I30" s="178">
        <v>-4034</v>
      </c>
      <c r="J30" s="178">
        <v>13533</v>
      </c>
      <c r="K30" s="178">
        <v>19687</v>
      </c>
      <c r="L30" s="178">
        <v>30651</v>
      </c>
      <c r="M30" s="178">
        <v>10536</v>
      </c>
      <c r="N30" s="178">
        <v>21640</v>
      </c>
      <c r="O30" s="178">
        <v>21010</v>
      </c>
      <c r="P30" s="178">
        <v>5243</v>
      </c>
      <c r="Q30" s="178">
        <v>-9716</v>
      </c>
      <c r="R30" s="178">
        <v>2756</v>
      </c>
      <c r="S30" s="178">
        <v>876</v>
      </c>
      <c r="T30" s="178">
        <v>725</v>
      </c>
      <c r="U30" s="178">
        <v>310</v>
      </c>
      <c r="V30" s="178">
        <v>687</v>
      </c>
      <c r="W30" s="178">
        <v>1176</v>
      </c>
      <c r="X30" s="178">
        <v>651</v>
      </c>
      <c r="Y30" s="178">
        <v>588</v>
      </c>
      <c r="Z30" s="178">
        <v>561</v>
      </c>
      <c r="AA30" s="178">
        <v>721</v>
      </c>
      <c r="AB30" s="255"/>
      <c r="AC30" s="255"/>
    </row>
    <row r="31" spans="1:29" x14ac:dyDescent="0.25">
      <c r="A31" s="20" t="s">
        <v>231</v>
      </c>
      <c r="B31" s="267"/>
      <c r="C31" s="267"/>
      <c r="D31" s="267"/>
      <c r="E31" s="267"/>
      <c r="F31" s="267"/>
      <c r="G31" s="267"/>
      <c r="H31" s="267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C31" s="255"/>
    </row>
    <row r="32" spans="1:29" x14ac:dyDescent="0.25">
      <c r="A32" s="65" t="s">
        <v>229</v>
      </c>
      <c r="B32" s="267">
        <v>286341</v>
      </c>
      <c r="C32" s="267">
        <v>189996</v>
      </c>
      <c r="D32" s="267">
        <v>216661</v>
      </c>
      <c r="E32" s="267">
        <v>166153</v>
      </c>
      <c r="F32" s="267">
        <v>382592</v>
      </c>
      <c r="G32" s="267">
        <v>321592</v>
      </c>
      <c r="H32" s="267">
        <v>291089</v>
      </c>
      <c r="I32" s="178">
        <v>278364</v>
      </c>
      <c r="J32" s="178">
        <v>373567</v>
      </c>
      <c r="K32" s="178">
        <v>454236</v>
      </c>
      <c r="L32" s="178">
        <v>368072</v>
      </c>
      <c r="M32" s="178">
        <v>-38258</v>
      </c>
      <c r="N32" s="178">
        <v>567108</v>
      </c>
      <c r="O32" s="178">
        <v>315216</v>
      </c>
      <c r="P32" s="178">
        <v>378666</v>
      </c>
      <c r="Q32" s="178">
        <v>91584</v>
      </c>
      <c r="R32" s="178">
        <v>409901</v>
      </c>
      <c r="S32" s="178">
        <v>307604</v>
      </c>
      <c r="T32" s="178">
        <v>313778</v>
      </c>
      <c r="U32" s="178">
        <v>-140404</v>
      </c>
      <c r="V32" s="178">
        <v>516213</v>
      </c>
      <c r="W32" s="178">
        <v>243020</v>
      </c>
      <c r="X32" s="178">
        <v>374636</v>
      </c>
      <c r="Y32" s="178">
        <v>-2819170</v>
      </c>
      <c r="Z32" s="178">
        <v>341606</v>
      </c>
      <c r="AA32" s="178">
        <v>-289802</v>
      </c>
      <c r="AC32" s="255"/>
    </row>
    <row r="33" spans="1:29" x14ac:dyDescent="0.25">
      <c r="A33" s="60" t="s">
        <v>230</v>
      </c>
      <c r="B33" s="262">
        <v>66808</v>
      </c>
      <c r="C33" s="262">
        <v>23428</v>
      </c>
      <c r="D33" s="262">
        <v>31750</v>
      </c>
      <c r="E33" s="262">
        <v>10876</v>
      </c>
      <c r="F33" s="262">
        <v>5500</v>
      </c>
      <c r="G33" s="262">
        <v>18414</v>
      </c>
      <c r="H33" s="262">
        <v>1938</v>
      </c>
      <c r="I33" s="262">
        <v>-2106</v>
      </c>
      <c r="J33" s="262">
        <v>13297</v>
      </c>
      <c r="K33" s="262">
        <v>19885</v>
      </c>
      <c r="L33" s="262">
        <v>31163</v>
      </c>
      <c r="M33" s="262">
        <v>-4757</v>
      </c>
      <c r="N33" s="262">
        <v>22309</v>
      </c>
      <c r="O33" s="262">
        <v>21820</v>
      </c>
      <c r="P33" s="262">
        <v>6062</v>
      </c>
      <c r="Q33" s="262">
        <v>-9331</v>
      </c>
      <c r="R33" s="262">
        <v>2777</v>
      </c>
      <c r="S33" s="262">
        <v>870</v>
      </c>
      <c r="T33" s="262">
        <v>738</v>
      </c>
      <c r="U33" s="178">
        <v>-88</v>
      </c>
      <c r="V33" s="178">
        <v>695</v>
      </c>
      <c r="W33" s="178">
        <v>1170</v>
      </c>
      <c r="X33" s="178">
        <v>662</v>
      </c>
      <c r="Y33" s="178">
        <v>635</v>
      </c>
      <c r="Z33" s="178">
        <v>561</v>
      </c>
      <c r="AA33" s="178">
        <v>721</v>
      </c>
      <c r="AC33" s="255"/>
    </row>
    <row r="34" spans="1:29" x14ac:dyDescent="0.25">
      <c r="A34" s="8"/>
      <c r="B34" s="252"/>
      <c r="C34" s="252"/>
      <c r="D34" s="252"/>
      <c r="E34" s="252"/>
      <c r="F34" s="252"/>
      <c r="G34" s="252"/>
      <c r="H34" s="252"/>
      <c r="I34" s="252"/>
      <c r="J34" s="252"/>
      <c r="K34" s="271"/>
      <c r="L34" s="271"/>
      <c r="M34" s="252"/>
      <c r="N34" s="252"/>
      <c r="O34" s="271"/>
      <c r="P34" s="25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  <c r="AC34" s="255"/>
    </row>
    <row r="35" spans="1:29" x14ac:dyDescent="0.25">
      <c r="A35" s="14" t="s">
        <v>366</v>
      </c>
      <c r="B35" s="266"/>
      <c r="C35" s="266"/>
      <c r="D35" s="266"/>
      <c r="E35" s="266"/>
      <c r="F35" s="266"/>
      <c r="G35" s="266"/>
      <c r="H35" s="266"/>
      <c r="I35" s="266"/>
      <c r="J35" s="266"/>
      <c r="K35" s="178"/>
      <c r="L35" s="178"/>
      <c r="M35" s="266"/>
      <c r="N35" s="266"/>
      <c r="O35" s="178"/>
      <c r="P35" s="266"/>
      <c r="T35" s="22"/>
      <c r="U35" s="268"/>
      <c r="V35" s="268"/>
      <c r="W35" s="268"/>
      <c r="X35" s="268"/>
      <c r="Y35" s="268"/>
      <c r="Z35" s="268"/>
      <c r="AA35" s="268"/>
      <c r="AC35" s="255"/>
    </row>
    <row r="36" spans="1:29" x14ac:dyDescent="0.25">
      <c r="A36" s="160" t="s">
        <v>367</v>
      </c>
      <c r="B36" s="273">
        <v>0.19</v>
      </c>
      <c r="C36" s="273">
        <v>0.12</v>
      </c>
      <c r="D36" s="273">
        <v>0.14000000000000001</v>
      </c>
      <c r="E36" s="273">
        <v>0.09</v>
      </c>
      <c r="F36" s="273">
        <v>0.22</v>
      </c>
      <c r="G36" s="273">
        <v>0.18</v>
      </c>
      <c r="H36" s="273">
        <v>0.17</v>
      </c>
      <c r="I36" s="274">
        <v>0.14000000000000001</v>
      </c>
      <c r="J36" s="274">
        <v>0.22</v>
      </c>
      <c r="K36" s="274">
        <v>0.27</v>
      </c>
      <c r="L36" s="274">
        <v>0.23</v>
      </c>
      <c r="M36" s="274">
        <v>0.12</v>
      </c>
      <c r="N36" s="274">
        <v>0.32</v>
      </c>
      <c r="O36" s="274">
        <v>0.16</v>
      </c>
      <c r="P36" s="274">
        <v>0.21204497411158271</v>
      </c>
      <c r="Q36" s="274">
        <v>0.06</v>
      </c>
      <c r="R36" s="274">
        <v>0.23</v>
      </c>
      <c r="S36" s="274">
        <v>0.18999999999999997</v>
      </c>
      <c r="T36" s="274">
        <v>0.18168446555064682</v>
      </c>
      <c r="U36" s="275">
        <v>6.8315534449353205E-2</v>
      </c>
      <c r="V36" s="275">
        <v>0.28999999999999998</v>
      </c>
      <c r="W36" s="275">
        <v>0.12</v>
      </c>
      <c r="X36" s="275">
        <v>0.2</v>
      </c>
      <c r="Y36" s="275">
        <v>-1.64</v>
      </c>
      <c r="Z36" s="275">
        <v>0.18</v>
      </c>
      <c r="AA36" s="275">
        <v>-0.18</v>
      </c>
      <c r="AC36" s="255"/>
    </row>
    <row r="37" spans="1:29" x14ac:dyDescent="0.25"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T37" s="253"/>
    </row>
    <row r="38" spans="1:29" s="247" customFormat="1" ht="15.75" x14ac:dyDescent="0.25">
      <c r="A38" s="276" t="s">
        <v>233</v>
      </c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  <c r="N38" s="277"/>
      <c r="O38" s="277"/>
      <c r="P38" s="277"/>
      <c r="T38" s="278"/>
    </row>
    <row r="39" spans="1:29" ht="25.5" x14ac:dyDescent="0.25">
      <c r="A39" s="110" t="s">
        <v>368</v>
      </c>
      <c r="B39" s="111" t="s">
        <v>369</v>
      </c>
      <c r="C39" s="111" t="s">
        <v>370</v>
      </c>
      <c r="D39" s="111" t="s">
        <v>371</v>
      </c>
      <c r="E39" s="111" t="s">
        <v>372</v>
      </c>
      <c r="F39" s="111" t="s">
        <v>373</v>
      </c>
      <c r="G39" s="111" t="s">
        <v>374</v>
      </c>
      <c r="H39" s="111" t="s">
        <v>375</v>
      </c>
      <c r="I39" s="250" t="s">
        <v>376</v>
      </c>
      <c r="J39" s="111" t="s">
        <v>377</v>
      </c>
      <c r="K39" s="111" t="s">
        <v>378</v>
      </c>
      <c r="L39" s="111" t="s">
        <v>379</v>
      </c>
      <c r="M39" s="250" t="s">
        <v>380</v>
      </c>
      <c r="N39" s="111" t="s">
        <v>381</v>
      </c>
      <c r="O39" s="111" t="s">
        <v>382</v>
      </c>
      <c r="P39" s="111" t="s">
        <v>383</v>
      </c>
      <c r="Q39" s="250" t="s">
        <v>384</v>
      </c>
      <c r="R39" s="111" t="s">
        <v>385</v>
      </c>
      <c r="S39" s="111" t="s">
        <v>386</v>
      </c>
      <c r="T39" s="279" t="s">
        <v>387</v>
      </c>
      <c r="U39" s="111" t="s">
        <v>388</v>
      </c>
      <c r="V39" s="111" t="s">
        <v>389</v>
      </c>
      <c r="W39" s="111" t="s">
        <v>390</v>
      </c>
      <c r="X39" s="111" t="s">
        <v>391</v>
      </c>
      <c r="Y39" s="111" t="s">
        <v>392</v>
      </c>
      <c r="Z39" s="111" t="s">
        <v>393</v>
      </c>
      <c r="AA39" s="111" t="s">
        <v>532</v>
      </c>
    </row>
    <row r="40" spans="1:29" x14ac:dyDescent="0.25">
      <c r="A40" s="8" t="s">
        <v>236</v>
      </c>
      <c r="B40" s="178"/>
      <c r="C40" s="178"/>
      <c r="D40" s="178"/>
      <c r="E40" s="178"/>
      <c r="F40" s="23"/>
      <c r="G40" s="23"/>
      <c r="H40" s="255"/>
      <c r="I40" s="255"/>
      <c r="J40" s="255"/>
      <c r="K40" s="255"/>
      <c r="L40" s="255"/>
      <c r="M40" s="255"/>
      <c r="N40" s="255"/>
      <c r="O40" s="255"/>
      <c r="P40" s="255"/>
      <c r="T40" s="253"/>
    </row>
    <row r="41" spans="1:29" x14ac:dyDescent="0.25">
      <c r="A41" s="8" t="s">
        <v>237</v>
      </c>
      <c r="B41" s="178"/>
      <c r="C41" s="178"/>
      <c r="D41" s="178"/>
      <c r="E41" s="178"/>
      <c r="F41" s="23"/>
      <c r="G41" s="23"/>
      <c r="H41" s="255"/>
      <c r="I41" s="255"/>
      <c r="J41" s="255"/>
      <c r="K41" s="255"/>
      <c r="L41" s="255"/>
      <c r="M41" s="255"/>
      <c r="N41" s="255"/>
      <c r="O41" s="255"/>
      <c r="P41" s="255"/>
      <c r="T41" s="253"/>
    </row>
    <row r="42" spans="1:29" x14ac:dyDescent="0.25">
      <c r="A42" s="8" t="s">
        <v>238</v>
      </c>
      <c r="B42" s="178">
        <v>17108018</v>
      </c>
      <c r="C42" s="178">
        <v>17123302</v>
      </c>
      <c r="D42" s="178">
        <v>17113632</v>
      </c>
      <c r="E42" s="178">
        <v>17524936</v>
      </c>
      <c r="F42" s="178">
        <v>17402446</v>
      </c>
      <c r="G42" s="178">
        <v>17600406</v>
      </c>
      <c r="H42" s="178">
        <v>18040324</v>
      </c>
      <c r="I42" s="178">
        <v>21636317</v>
      </c>
      <c r="J42" s="178">
        <v>22013708</v>
      </c>
      <c r="K42" s="178">
        <v>22298453</v>
      </c>
      <c r="L42" s="178">
        <v>22639534</v>
      </c>
      <c r="M42" s="178">
        <v>23300643</v>
      </c>
      <c r="N42" s="178">
        <v>24223173</v>
      </c>
      <c r="O42" s="178">
        <v>23575461</v>
      </c>
      <c r="P42" s="178">
        <v>24147608</v>
      </c>
      <c r="Q42" s="178">
        <v>25127639</v>
      </c>
      <c r="R42" s="178">
        <v>25237787</v>
      </c>
      <c r="S42" s="178">
        <v>25446259</v>
      </c>
      <c r="T42" s="22">
        <v>25740388</v>
      </c>
      <c r="U42" s="22">
        <v>24850942</v>
      </c>
      <c r="V42" s="22">
        <v>25198531</v>
      </c>
      <c r="W42" s="22">
        <v>25738123</v>
      </c>
      <c r="X42" s="22">
        <v>26239783</v>
      </c>
      <c r="Y42" s="22">
        <v>24882817</v>
      </c>
      <c r="Z42" s="22">
        <v>25330290</v>
      </c>
      <c r="AA42" s="22">
        <v>25066173</v>
      </c>
      <c r="AB42" s="253"/>
    </row>
    <row r="43" spans="1:29" x14ac:dyDescent="0.25">
      <c r="A43" s="8" t="s">
        <v>239</v>
      </c>
      <c r="B43" s="381" t="s">
        <v>394</v>
      </c>
      <c r="C43" s="381" t="s">
        <v>395</v>
      </c>
      <c r="D43" s="381" t="s">
        <v>396</v>
      </c>
      <c r="E43" s="381" t="s">
        <v>397</v>
      </c>
      <c r="F43" s="381" t="s">
        <v>398</v>
      </c>
      <c r="G43" s="381" t="s">
        <v>399</v>
      </c>
      <c r="H43" s="381" t="s">
        <v>400</v>
      </c>
      <c r="I43" s="178">
        <v>247057</v>
      </c>
      <c r="J43" s="381" t="s">
        <v>401</v>
      </c>
      <c r="K43" s="381" t="s">
        <v>402</v>
      </c>
      <c r="L43" s="381" t="s">
        <v>403</v>
      </c>
      <c r="M43" s="178">
        <v>247057</v>
      </c>
      <c r="N43" s="381" t="s">
        <v>404</v>
      </c>
      <c r="O43" s="381" t="s">
        <v>405</v>
      </c>
      <c r="P43" s="381" t="s">
        <v>406</v>
      </c>
      <c r="Q43" s="178">
        <v>247057</v>
      </c>
      <c r="R43" s="178">
        <v>247057</v>
      </c>
      <c r="S43" s="178">
        <v>247057</v>
      </c>
      <c r="T43" s="22">
        <v>247057</v>
      </c>
      <c r="U43" s="22">
        <v>195155</v>
      </c>
      <c r="V43" s="22">
        <v>195155</v>
      </c>
      <c r="W43" s="22">
        <v>195155</v>
      </c>
      <c r="X43" s="22">
        <v>195155</v>
      </c>
      <c r="Y43" s="22">
        <v>92059</v>
      </c>
      <c r="Z43" s="22">
        <v>92059</v>
      </c>
      <c r="AA43" s="22">
        <v>40156</v>
      </c>
      <c r="AB43" s="253"/>
    </row>
    <row r="44" spans="1:29" x14ac:dyDescent="0.25">
      <c r="A44" s="8" t="s">
        <v>407</v>
      </c>
      <c r="B44" s="382"/>
      <c r="C44" s="382"/>
      <c r="D44" s="382"/>
      <c r="E44" s="382"/>
      <c r="F44" s="382"/>
      <c r="G44" s="382"/>
      <c r="H44" s="382"/>
      <c r="I44" s="178">
        <f>1399674-247057</f>
        <v>1152617</v>
      </c>
      <c r="J44" s="382"/>
      <c r="K44" s="382"/>
      <c r="L44" s="382"/>
      <c r="M44" s="178">
        <f>1429313-247057</f>
        <v>1182256</v>
      </c>
      <c r="N44" s="382"/>
      <c r="O44" s="382"/>
      <c r="P44" s="382"/>
      <c r="Q44" s="178">
        <v>1160005</v>
      </c>
      <c r="R44" s="178">
        <v>1202192</v>
      </c>
      <c r="S44" s="178">
        <v>1262910</v>
      </c>
      <c r="T44" s="22">
        <v>1283571</v>
      </c>
      <c r="U44" s="22">
        <v>1604634</v>
      </c>
      <c r="V44" s="22">
        <v>1247088</v>
      </c>
      <c r="W44" s="22">
        <v>1271029</v>
      </c>
      <c r="X44" s="22">
        <v>1295459</v>
      </c>
      <c r="Y44" s="22">
        <v>1693605</v>
      </c>
      <c r="Z44" s="22">
        <v>1264766</v>
      </c>
      <c r="AA44" s="22">
        <v>1292124</v>
      </c>
      <c r="AB44" s="253"/>
    </row>
    <row r="45" spans="1:29" x14ac:dyDescent="0.25">
      <c r="A45" s="8" t="s">
        <v>408</v>
      </c>
      <c r="B45" s="280">
        <v>0</v>
      </c>
      <c r="C45" s="280">
        <v>0</v>
      </c>
      <c r="D45" s="280">
        <v>0</v>
      </c>
      <c r="E45" s="178">
        <v>764</v>
      </c>
      <c r="F45" s="178">
        <v>13467</v>
      </c>
      <c r="G45" s="178">
        <v>13223</v>
      </c>
      <c r="H45" s="178">
        <v>23037</v>
      </c>
      <c r="I45" s="178">
        <v>22717</v>
      </c>
      <c r="J45" s="178">
        <v>22364</v>
      </c>
      <c r="K45" s="178">
        <v>22046</v>
      </c>
      <c r="L45" s="178">
        <v>54320</v>
      </c>
      <c r="M45" s="178">
        <v>51986</v>
      </c>
      <c r="N45" s="178">
        <v>49939</v>
      </c>
      <c r="O45" s="178">
        <v>48079</v>
      </c>
      <c r="P45" s="178">
        <v>46353</v>
      </c>
      <c r="Q45" s="178">
        <v>44398</v>
      </c>
      <c r="R45" s="178">
        <v>42837</v>
      </c>
      <c r="S45" s="178">
        <v>41286</v>
      </c>
      <c r="T45" s="22">
        <v>39689</v>
      </c>
      <c r="U45" s="22">
        <v>414584</v>
      </c>
      <c r="V45" s="22">
        <v>434010</v>
      </c>
      <c r="W45" s="22">
        <v>417429</v>
      </c>
      <c r="X45" s="22">
        <v>411881</v>
      </c>
      <c r="Y45" s="22">
        <v>418127</v>
      </c>
      <c r="Z45" s="22">
        <v>441190</v>
      </c>
      <c r="AA45" s="22">
        <v>462202</v>
      </c>
      <c r="AB45" s="253"/>
    </row>
    <row r="46" spans="1:29" x14ac:dyDescent="0.25">
      <c r="A46" s="8" t="s">
        <v>245</v>
      </c>
      <c r="B46" s="178">
        <v>176028</v>
      </c>
      <c r="C46" s="178">
        <v>208162</v>
      </c>
      <c r="D46" s="178">
        <v>207431</v>
      </c>
      <c r="E46" s="178">
        <v>177452</v>
      </c>
      <c r="F46" s="178">
        <v>193679</v>
      </c>
      <c r="G46" s="178">
        <v>185086</v>
      </c>
      <c r="H46" s="178">
        <v>306768</v>
      </c>
      <c r="I46" s="178">
        <v>193067</v>
      </c>
      <c r="J46" s="178">
        <v>197296</v>
      </c>
      <c r="K46" s="178">
        <v>271600</v>
      </c>
      <c r="L46" s="178">
        <v>246667</v>
      </c>
      <c r="M46" s="178">
        <v>305444</v>
      </c>
      <c r="N46" s="178">
        <v>343898</v>
      </c>
      <c r="O46" s="178">
        <v>377177</v>
      </c>
      <c r="P46" s="178">
        <v>380498</v>
      </c>
      <c r="Q46" s="178">
        <v>587166</v>
      </c>
      <c r="R46" s="178">
        <v>359305</v>
      </c>
      <c r="S46" s="178">
        <v>358775</v>
      </c>
      <c r="T46" s="22">
        <v>373664</v>
      </c>
      <c r="U46" s="22">
        <v>377383</v>
      </c>
      <c r="V46" s="22">
        <v>397611</v>
      </c>
      <c r="W46" s="22">
        <v>401622</v>
      </c>
      <c r="X46" s="22">
        <v>410692</v>
      </c>
      <c r="Y46" s="22">
        <v>433018</v>
      </c>
      <c r="Z46" s="22">
        <v>461673</v>
      </c>
      <c r="AA46" s="22">
        <v>463419</v>
      </c>
      <c r="AB46" s="253"/>
    </row>
    <row r="47" spans="1:29" x14ac:dyDescent="0.25">
      <c r="A47" s="8" t="s">
        <v>246</v>
      </c>
      <c r="B47" s="178">
        <v>85939</v>
      </c>
      <c r="C47" s="178">
        <v>123597</v>
      </c>
      <c r="D47" s="178">
        <v>123672</v>
      </c>
      <c r="E47" s="178">
        <v>181832</v>
      </c>
      <c r="F47" s="178">
        <v>147024</v>
      </c>
      <c r="G47" s="178">
        <v>138413</v>
      </c>
      <c r="H47" s="178">
        <v>118415</v>
      </c>
      <c r="I47" s="178">
        <v>144923</v>
      </c>
      <c r="J47" s="178">
        <v>217563</v>
      </c>
      <c r="K47" s="178">
        <v>216155</v>
      </c>
      <c r="L47" s="178">
        <v>293905</v>
      </c>
      <c r="M47" s="178">
        <v>359709</v>
      </c>
      <c r="N47" s="178">
        <v>387967</v>
      </c>
      <c r="O47" s="178">
        <v>403902</v>
      </c>
      <c r="P47" s="178">
        <v>460511</v>
      </c>
      <c r="Q47" s="178">
        <v>354704</v>
      </c>
      <c r="R47" s="178">
        <v>355911</v>
      </c>
      <c r="S47" s="178">
        <v>568819</v>
      </c>
      <c r="T47" s="22">
        <v>562331</v>
      </c>
      <c r="U47" s="22">
        <v>657943</v>
      </c>
      <c r="V47" s="22">
        <v>692424</v>
      </c>
      <c r="W47" s="22">
        <v>618471</v>
      </c>
      <c r="X47" s="22">
        <v>559551</v>
      </c>
      <c r="Y47" s="22">
        <v>550375</v>
      </c>
      <c r="Z47" s="22">
        <v>564338</v>
      </c>
      <c r="AA47" s="22">
        <v>514318</v>
      </c>
      <c r="AB47" s="253"/>
    </row>
    <row r="48" spans="1:29" x14ac:dyDescent="0.25">
      <c r="A48" s="186" t="s">
        <v>409</v>
      </c>
      <c r="B48" s="193">
        <v>113834</v>
      </c>
      <c r="C48" s="193">
        <v>126835</v>
      </c>
      <c r="D48" s="193">
        <v>147199</v>
      </c>
      <c r="E48" s="193">
        <v>163063</v>
      </c>
      <c r="F48" s="193">
        <v>158726</v>
      </c>
      <c r="G48" s="193">
        <v>158197</v>
      </c>
      <c r="H48" s="193">
        <v>159807</v>
      </c>
      <c r="I48" s="193">
        <v>20079</v>
      </c>
      <c r="J48" s="193">
        <v>8487</v>
      </c>
      <c r="K48" s="193">
        <v>25684</v>
      </c>
      <c r="L48" s="193">
        <v>16219</v>
      </c>
      <c r="M48" s="193">
        <v>24135</v>
      </c>
      <c r="N48" s="193">
        <v>31855</v>
      </c>
      <c r="O48" s="193">
        <v>40791</v>
      </c>
      <c r="P48" s="193">
        <v>42727</v>
      </c>
      <c r="Q48" s="193">
        <v>46039</v>
      </c>
      <c r="R48" s="193">
        <v>33505</v>
      </c>
      <c r="S48" s="193">
        <v>28908</v>
      </c>
      <c r="T48" s="257">
        <v>35093</v>
      </c>
      <c r="U48" s="257">
        <v>62108</v>
      </c>
      <c r="V48" s="257">
        <v>35086</v>
      </c>
      <c r="W48" s="257">
        <v>49650</v>
      </c>
      <c r="X48" s="257">
        <v>53427</v>
      </c>
      <c r="Y48" s="257">
        <v>54184</v>
      </c>
      <c r="Z48" s="257">
        <v>52696</v>
      </c>
      <c r="AA48" s="257">
        <v>65730</v>
      </c>
      <c r="AB48" s="253"/>
    </row>
    <row r="49" spans="1:28" x14ac:dyDescent="0.25">
      <c r="A49" s="281"/>
      <c r="B49" s="171">
        <v>18034400</v>
      </c>
      <c r="C49" s="171">
        <v>18242724</v>
      </c>
      <c r="D49" s="171">
        <v>18382485</v>
      </c>
      <c r="E49" s="171">
        <v>18394387</v>
      </c>
      <c r="F49" s="171">
        <v>18700543</v>
      </c>
      <c r="G49" s="171">
        <v>18961611</v>
      </c>
      <c r="H49" s="171">
        <v>19706773</v>
      </c>
      <c r="I49" s="171">
        <v>23416777</v>
      </c>
      <c r="J49" s="171">
        <v>23446281</v>
      </c>
      <c r="K49" s="171">
        <v>23849197</v>
      </c>
      <c r="L49" s="171">
        <v>24272950</v>
      </c>
      <c r="M49" s="171">
        <v>25471230</v>
      </c>
      <c r="N49" s="171">
        <v>25650887</v>
      </c>
      <c r="O49" s="171">
        <v>25933097</v>
      </c>
      <c r="P49" s="171">
        <v>26595950</v>
      </c>
      <c r="Q49" s="171">
        <v>27567008</v>
      </c>
      <c r="R49" s="171">
        <v>27478594</v>
      </c>
      <c r="S49" s="171">
        <v>27954014</v>
      </c>
      <c r="T49" s="171">
        <v>28281793</v>
      </c>
      <c r="U49" s="171">
        <v>28162749</v>
      </c>
      <c r="V49" s="171">
        <v>28199905</v>
      </c>
      <c r="W49" s="171">
        <v>28691479</v>
      </c>
      <c r="X49" s="171">
        <v>29165948</v>
      </c>
      <c r="Y49" s="171">
        <v>28124185</v>
      </c>
      <c r="Z49" s="171">
        <v>28207012</v>
      </c>
      <c r="AA49" s="171">
        <v>27904122</v>
      </c>
      <c r="AB49" s="255"/>
    </row>
    <row r="50" spans="1:28" x14ac:dyDescent="0.25">
      <c r="A50" s="20" t="s">
        <v>250</v>
      </c>
      <c r="B50" s="171"/>
      <c r="C50" s="171"/>
      <c r="D50" s="171"/>
      <c r="E50" s="171"/>
      <c r="F50" s="171"/>
      <c r="G50" s="171"/>
      <c r="H50" s="282"/>
      <c r="I50" s="171"/>
      <c r="J50" s="171"/>
      <c r="K50" s="171"/>
      <c r="L50" s="171"/>
      <c r="M50" s="171"/>
      <c r="N50" s="171"/>
      <c r="O50" s="171"/>
      <c r="P50" s="282"/>
      <c r="Q50" s="282"/>
      <c r="T50" s="22"/>
      <c r="U50" s="22"/>
      <c r="V50" s="22"/>
      <c r="W50" s="22"/>
      <c r="X50" s="22"/>
      <c r="Y50" s="22"/>
      <c r="Z50" s="22"/>
      <c r="AA50" s="22"/>
    </row>
    <row r="51" spans="1:28" x14ac:dyDescent="0.25">
      <c r="A51" s="20" t="s">
        <v>410</v>
      </c>
      <c r="B51" s="283" t="s">
        <v>361</v>
      </c>
      <c r="C51" s="283" t="s">
        <v>361</v>
      </c>
      <c r="D51" s="283" t="s">
        <v>361</v>
      </c>
      <c r="E51" s="284">
        <v>624190</v>
      </c>
      <c r="F51" s="283" t="s">
        <v>361</v>
      </c>
      <c r="G51" s="283" t="s">
        <v>361</v>
      </c>
      <c r="H51" s="283" t="s">
        <v>361</v>
      </c>
      <c r="I51" s="171">
        <v>870954</v>
      </c>
      <c r="J51" s="171">
        <v>743420</v>
      </c>
      <c r="K51" s="171">
        <v>668742</v>
      </c>
      <c r="L51" s="171">
        <v>627786</v>
      </c>
      <c r="M51" s="171">
        <v>711099</v>
      </c>
      <c r="N51" s="284">
        <v>292319</v>
      </c>
      <c r="O51" s="171">
        <v>429828</v>
      </c>
      <c r="P51" s="171">
        <v>627524</v>
      </c>
      <c r="Q51" s="171">
        <v>1156550</v>
      </c>
      <c r="R51" s="171">
        <v>746775</v>
      </c>
      <c r="S51" s="171">
        <v>504066</v>
      </c>
      <c r="T51" s="171">
        <v>688814</v>
      </c>
      <c r="U51" s="284">
        <v>733048</v>
      </c>
      <c r="V51" s="171">
        <v>613984</v>
      </c>
      <c r="W51" s="171">
        <v>646617</v>
      </c>
      <c r="X51" s="171">
        <v>737632</v>
      </c>
      <c r="Y51" s="171">
        <v>805388</v>
      </c>
      <c r="Z51" s="171">
        <v>732752</v>
      </c>
      <c r="AA51" s="171">
        <v>648516</v>
      </c>
      <c r="AB51" s="255"/>
    </row>
    <row r="52" spans="1:28" x14ac:dyDescent="0.25">
      <c r="A52" s="20" t="s">
        <v>252</v>
      </c>
      <c r="B52" s="171">
        <v>445805</v>
      </c>
      <c r="C52" s="171">
        <v>439363</v>
      </c>
      <c r="D52" s="171">
        <v>439203</v>
      </c>
      <c r="E52" s="171">
        <v>408560</v>
      </c>
      <c r="F52" s="171">
        <v>352719</v>
      </c>
      <c r="G52" s="171">
        <v>388935</v>
      </c>
      <c r="H52" s="171">
        <v>405237</v>
      </c>
      <c r="I52" s="171">
        <v>574790</v>
      </c>
      <c r="J52" s="171">
        <v>538761</v>
      </c>
      <c r="K52" s="171">
        <v>532534</v>
      </c>
      <c r="L52" s="171">
        <v>504511</v>
      </c>
      <c r="M52" s="171">
        <v>708282</v>
      </c>
      <c r="N52" s="171">
        <v>533231</v>
      </c>
      <c r="O52" s="171">
        <v>464339</v>
      </c>
      <c r="P52" s="171">
        <v>476475</v>
      </c>
      <c r="Q52" s="171">
        <v>509224</v>
      </c>
      <c r="R52" s="171">
        <v>504152</v>
      </c>
      <c r="S52" s="171">
        <v>474560</v>
      </c>
      <c r="T52" s="171">
        <v>546739</v>
      </c>
      <c r="U52" s="171">
        <v>527596</v>
      </c>
      <c r="V52" s="171">
        <v>481059</v>
      </c>
      <c r="W52" s="171">
        <v>404450</v>
      </c>
      <c r="X52" s="171">
        <v>361351</v>
      </c>
      <c r="Y52" s="171">
        <v>433279</v>
      </c>
      <c r="Z52" s="171">
        <v>419298</v>
      </c>
      <c r="AA52" s="171">
        <v>404983</v>
      </c>
      <c r="AB52" s="255"/>
    </row>
    <row r="53" spans="1:28" x14ac:dyDescent="0.25">
      <c r="A53" s="20" t="s">
        <v>411</v>
      </c>
      <c r="B53" s="171">
        <v>44780</v>
      </c>
      <c r="C53" s="171">
        <v>43485</v>
      </c>
      <c r="D53" s="171">
        <v>48665</v>
      </c>
      <c r="E53" s="171">
        <v>74749</v>
      </c>
      <c r="F53" s="171">
        <v>65922</v>
      </c>
      <c r="G53" s="171">
        <v>14991</v>
      </c>
      <c r="H53" s="171">
        <v>26130</v>
      </c>
      <c r="I53" s="171">
        <v>64266</v>
      </c>
      <c r="J53" s="171">
        <v>122844</v>
      </c>
      <c r="K53" s="171">
        <v>78389</v>
      </c>
      <c r="L53" s="171">
        <v>19638</v>
      </c>
      <c r="M53" s="171">
        <v>1434</v>
      </c>
      <c r="N53" s="171">
        <v>119959</v>
      </c>
      <c r="O53" s="171">
        <v>23188</v>
      </c>
      <c r="P53" s="171">
        <v>801</v>
      </c>
      <c r="Q53" s="171">
        <v>31890</v>
      </c>
      <c r="R53" s="171">
        <v>82673</v>
      </c>
      <c r="S53" s="171">
        <v>92261</v>
      </c>
      <c r="T53" s="171">
        <v>14476</v>
      </c>
      <c r="U53" s="171">
        <v>26489</v>
      </c>
      <c r="V53" s="171">
        <v>5410</v>
      </c>
      <c r="W53" s="171">
        <v>53805</v>
      </c>
      <c r="X53" s="171">
        <v>1281</v>
      </c>
      <c r="Y53" s="171">
        <v>909</v>
      </c>
      <c r="Z53" s="171">
        <v>114921</v>
      </c>
      <c r="AA53" s="171">
        <v>27726</v>
      </c>
    </row>
    <row r="54" spans="1:28" x14ac:dyDescent="0.25">
      <c r="A54" s="20" t="s">
        <v>412</v>
      </c>
      <c r="B54" s="171">
        <v>2162303</v>
      </c>
      <c r="C54" s="171">
        <v>2008653</v>
      </c>
      <c r="D54" s="171">
        <v>2039137</v>
      </c>
      <c r="E54" s="171">
        <v>2273145</v>
      </c>
      <c r="F54" s="171">
        <v>2483396</v>
      </c>
      <c r="G54" s="171">
        <v>2422059</v>
      </c>
      <c r="H54" s="171">
        <v>2237749</v>
      </c>
      <c r="I54" s="171">
        <v>2743344</v>
      </c>
      <c r="J54" s="171">
        <v>3115010</v>
      </c>
      <c r="K54" s="171">
        <v>2815297</v>
      </c>
      <c r="L54" s="171">
        <v>2850291</v>
      </c>
      <c r="M54" s="171">
        <v>3036695</v>
      </c>
      <c r="N54" s="171">
        <v>2842352</v>
      </c>
      <c r="O54" s="171">
        <v>2585447</v>
      </c>
      <c r="P54" s="171">
        <v>2137635</v>
      </c>
      <c r="Q54" s="171">
        <v>2134641</v>
      </c>
      <c r="R54" s="171">
        <v>2148195</v>
      </c>
      <c r="S54" s="171">
        <v>1933061</v>
      </c>
      <c r="T54" s="171">
        <v>1979723</v>
      </c>
      <c r="U54" s="171">
        <v>1969169</v>
      </c>
      <c r="V54" s="171">
        <v>1969398</v>
      </c>
      <c r="W54" s="171">
        <v>1879766</v>
      </c>
      <c r="X54" s="171">
        <v>1811345</v>
      </c>
      <c r="Y54" s="171">
        <v>1854595</v>
      </c>
      <c r="Z54" s="171">
        <v>1919208</v>
      </c>
      <c r="AA54" s="171">
        <v>1864857</v>
      </c>
      <c r="AB54" s="255"/>
    </row>
    <row r="55" spans="1:28" x14ac:dyDescent="0.25">
      <c r="A55" s="20" t="s">
        <v>245</v>
      </c>
      <c r="B55" s="171">
        <v>100201</v>
      </c>
      <c r="C55" s="171">
        <v>42320</v>
      </c>
      <c r="D55" s="171">
        <v>57343</v>
      </c>
      <c r="E55" s="171">
        <v>28193</v>
      </c>
      <c r="F55" s="171">
        <v>18874</v>
      </c>
      <c r="G55" s="171">
        <v>9745</v>
      </c>
      <c r="H55" s="171">
        <v>9306</v>
      </c>
      <c r="I55" s="171">
        <v>108024</v>
      </c>
      <c r="J55" s="171">
        <v>4762</v>
      </c>
      <c r="K55" s="171">
        <v>9070</v>
      </c>
      <c r="L55" s="171">
        <v>12640</v>
      </c>
      <c r="M55" s="171">
        <v>5422</v>
      </c>
      <c r="N55" s="171">
        <v>9065</v>
      </c>
      <c r="O55" s="171">
        <v>11180</v>
      </c>
      <c r="P55" s="171">
        <v>6596</v>
      </c>
      <c r="Q55" s="171">
        <v>15878</v>
      </c>
      <c r="R55" s="171">
        <v>16103</v>
      </c>
      <c r="S55" s="171">
        <v>16510</v>
      </c>
      <c r="T55" s="171">
        <v>18525</v>
      </c>
      <c r="U55" s="171">
        <v>27539</v>
      </c>
      <c r="V55" s="171">
        <v>27458</v>
      </c>
      <c r="W55" s="171">
        <v>6359</v>
      </c>
      <c r="X55" s="171">
        <v>7518</v>
      </c>
      <c r="Y55" s="171">
        <v>9772</v>
      </c>
      <c r="Z55" s="171">
        <v>67454</v>
      </c>
      <c r="AA55" s="171">
        <v>83558</v>
      </c>
    </row>
    <row r="56" spans="1:28" x14ac:dyDescent="0.25">
      <c r="A56" s="20" t="s">
        <v>246</v>
      </c>
      <c r="B56" s="171">
        <v>256526</v>
      </c>
      <c r="C56" s="171">
        <v>185158</v>
      </c>
      <c r="D56" s="171">
        <v>157067</v>
      </c>
      <c r="E56" s="171">
        <v>145361</v>
      </c>
      <c r="F56" s="171">
        <v>314109</v>
      </c>
      <c r="G56" s="171">
        <v>226633</v>
      </c>
      <c r="H56" s="171">
        <v>187315</v>
      </c>
      <c r="I56" s="171">
        <v>234220</v>
      </c>
      <c r="J56" s="171">
        <v>324360</v>
      </c>
      <c r="K56" s="171">
        <v>296724</v>
      </c>
      <c r="L56" s="171">
        <v>226180</v>
      </c>
      <c r="M56" s="171">
        <v>272371</v>
      </c>
      <c r="N56" s="171">
        <v>260385</v>
      </c>
      <c r="O56" s="171">
        <v>294057</v>
      </c>
      <c r="P56" s="171">
        <v>198037</v>
      </c>
      <c r="Q56" s="171">
        <v>270429</v>
      </c>
      <c r="R56" s="171">
        <v>319724</v>
      </c>
      <c r="S56" s="171">
        <v>342953</v>
      </c>
      <c r="T56" s="171">
        <v>289821</v>
      </c>
      <c r="U56" s="171">
        <v>353989</v>
      </c>
      <c r="V56" s="171">
        <v>405087</v>
      </c>
      <c r="W56" s="171">
        <v>380516</v>
      </c>
      <c r="X56" s="171">
        <v>352176</v>
      </c>
      <c r="Y56" s="171">
        <v>460495</v>
      </c>
      <c r="Z56" s="171">
        <v>411530</v>
      </c>
      <c r="AA56" s="171">
        <v>292654</v>
      </c>
      <c r="AB56" s="255"/>
    </row>
    <row r="57" spans="1:28" x14ac:dyDescent="0.25">
      <c r="A57" s="20" t="s">
        <v>256</v>
      </c>
      <c r="B57" s="171">
        <v>758148</v>
      </c>
      <c r="C57" s="171">
        <v>1049221</v>
      </c>
      <c r="D57" s="171">
        <v>1387071</v>
      </c>
      <c r="E57" s="171">
        <v>1473981</v>
      </c>
      <c r="F57" s="171">
        <v>850022</v>
      </c>
      <c r="G57" s="171">
        <v>1376104</v>
      </c>
      <c r="H57" s="171">
        <v>884604</v>
      </c>
      <c r="I57" s="171">
        <v>505670</v>
      </c>
      <c r="J57" s="171">
        <v>546203</v>
      </c>
      <c r="K57" s="171">
        <v>705020</v>
      </c>
      <c r="L57" s="171">
        <v>1149481</v>
      </c>
      <c r="M57" s="171">
        <v>1030929</v>
      </c>
      <c r="N57" s="171">
        <v>1007246</v>
      </c>
      <c r="O57" s="171">
        <v>912712</v>
      </c>
      <c r="P57" s="171">
        <v>1346190</v>
      </c>
      <c r="Q57" s="171">
        <v>636909</v>
      </c>
      <c r="R57" s="171">
        <v>347699</v>
      </c>
      <c r="S57" s="171">
        <v>246144</v>
      </c>
      <c r="T57" s="171">
        <v>303515</v>
      </c>
      <c r="U57" s="171">
        <v>1420909</v>
      </c>
      <c r="V57" s="171">
        <v>1124268</v>
      </c>
      <c r="W57" s="171">
        <v>915135</v>
      </c>
      <c r="X57" s="171">
        <v>1114760</v>
      </c>
      <c r="Y57" s="171">
        <v>364912</v>
      </c>
      <c r="Z57" s="171">
        <v>360118</v>
      </c>
      <c r="AA57" s="171">
        <v>422123</v>
      </c>
      <c r="AB57" s="255"/>
    </row>
    <row r="58" spans="1:28" x14ac:dyDescent="0.25">
      <c r="A58" s="186" t="s">
        <v>413</v>
      </c>
      <c r="B58" s="193">
        <v>5820</v>
      </c>
      <c r="C58" s="193">
        <v>5778</v>
      </c>
      <c r="D58" s="193">
        <v>4205</v>
      </c>
      <c r="E58" s="193">
        <v>4397</v>
      </c>
      <c r="F58" s="193">
        <v>4397</v>
      </c>
      <c r="G58" s="193">
        <v>4397</v>
      </c>
      <c r="H58" s="193">
        <v>4397</v>
      </c>
      <c r="I58" s="193">
        <v>8951</v>
      </c>
      <c r="J58" s="193">
        <v>10846</v>
      </c>
      <c r="K58" s="193">
        <v>13133</v>
      </c>
      <c r="L58" s="193">
        <v>13181</v>
      </c>
      <c r="M58" s="193">
        <v>36215</v>
      </c>
      <c r="N58" s="193">
        <v>34229</v>
      </c>
      <c r="O58" s="193">
        <v>35833</v>
      </c>
      <c r="P58" s="193">
        <v>36069</v>
      </c>
      <c r="Q58" s="193">
        <v>33041</v>
      </c>
      <c r="R58" s="193">
        <v>26162</v>
      </c>
      <c r="S58" s="193">
        <v>13668</v>
      </c>
      <c r="T58" s="193">
        <v>13683</v>
      </c>
      <c r="U58" s="193">
        <v>1337705</v>
      </c>
      <c r="V58" s="193">
        <v>1346423</v>
      </c>
      <c r="W58" s="193">
        <v>1343947</v>
      </c>
      <c r="X58" s="193">
        <v>1397917</v>
      </c>
      <c r="Y58" s="193">
        <v>17898</v>
      </c>
      <c r="Z58" s="193">
        <v>18258</v>
      </c>
      <c r="AA58" s="193">
        <v>13283</v>
      </c>
      <c r="AB58" s="255"/>
    </row>
    <row r="59" spans="1:28" x14ac:dyDescent="0.25">
      <c r="A59" s="8"/>
      <c r="B59" s="178">
        <f>3767763+B58</f>
        <v>3773583</v>
      </c>
      <c r="C59" s="178">
        <f>3768200+C58</f>
        <v>3773978</v>
      </c>
      <c r="D59" s="178">
        <f>4128486+D58</f>
        <v>4132691</v>
      </c>
      <c r="E59" s="178">
        <f>5028179+E58</f>
        <v>5032576</v>
      </c>
      <c r="F59" s="178">
        <f>4085042+F58</f>
        <v>4089439</v>
      </c>
      <c r="G59" s="178">
        <f>4438467+G58</f>
        <v>4442864</v>
      </c>
      <c r="H59" s="178">
        <f>3750341+H58</f>
        <v>3754738</v>
      </c>
      <c r="I59" s="178">
        <f>5101268+I58</f>
        <v>5110219</v>
      </c>
      <c r="J59" s="178">
        <f>5395360+J58</f>
        <v>5406206</v>
      </c>
      <c r="K59" s="178">
        <f>5105776+K58</f>
        <v>5118909</v>
      </c>
      <c r="L59" s="178">
        <f>5390527+L58</f>
        <v>5403708</v>
      </c>
      <c r="M59" s="178">
        <f>5766232+M58</f>
        <v>5802447</v>
      </c>
      <c r="N59" s="178">
        <f>5064557+N58</f>
        <v>5098786</v>
      </c>
      <c r="O59" s="285">
        <f>4720751+O58</f>
        <v>4756584</v>
      </c>
      <c r="P59" s="285">
        <f>4793258+P58</f>
        <v>4829327</v>
      </c>
      <c r="Q59" s="285">
        <f>4755521+Q58</f>
        <v>4788562</v>
      </c>
      <c r="R59" s="285">
        <f>4165321+R58</f>
        <v>4191483</v>
      </c>
      <c r="S59" s="285">
        <f>3609555+S58</f>
        <v>3623223</v>
      </c>
      <c r="T59" s="285">
        <f>3841613+T58</f>
        <v>3855296</v>
      </c>
      <c r="U59" s="285">
        <v>6396444</v>
      </c>
      <c r="V59" s="285">
        <v>5973087</v>
      </c>
      <c r="W59" s="285">
        <v>5630595</v>
      </c>
      <c r="X59" s="285">
        <v>5783980</v>
      </c>
      <c r="Y59" s="285">
        <v>3947248</v>
      </c>
      <c r="Z59" s="285">
        <v>4043539</v>
      </c>
      <c r="AA59" s="285">
        <v>3757700</v>
      </c>
      <c r="AB59" s="255"/>
    </row>
    <row r="60" spans="1:28" x14ac:dyDescent="0.25">
      <c r="A60" s="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263"/>
      <c r="P60" s="263"/>
      <c r="Q60" s="263"/>
      <c r="R60" s="263"/>
      <c r="S60" s="263"/>
      <c r="T60" s="263"/>
      <c r="U60" s="263"/>
      <c r="V60" s="263"/>
      <c r="W60" s="263"/>
      <c r="X60" s="263"/>
      <c r="Y60" s="263"/>
      <c r="Z60" s="263"/>
      <c r="AA60" s="263"/>
    </row>
    <row r="61" spans="1:28" x14ac:dyDescent="0.25">
      <c r="A61" s="92" t="s">
        <v>258</v>
      </c>
      <c r="B61" s="286">
        <v>21807983</v>
      </c>
      <c r="C61" s="286">
        <v>22016702</v>
      </c>
      <c r="D61" s="286">
        <v>22515176</v>
      </c>
      <c r="E61" s="286">
        <v>23426963</v>
      </c>
      <c r="F61" s="286">
        <v>22789982</v>
      </c>
      <c r="G61" s="286">
        <v>23404475</v>
      </c>
      <c r="H61" s="286">
        <v>23461511</v>
      </c>
      <c r="I61" s="286">
        <v>28526996</v>
      </c>
      <c r="J61" s="286">
        <v>28852487</v>
      </c>
      <c r="K61" s="286">
        <v>28968106</v>
      </c>
      <c r="L61" s="286">
        <v>29676658</v>
      </c>
      <c r="M61" s="286">
        <v>31273677</v>
      </c>
      <c r="N61" s="286">
        <v>30749673</v>
      </c>
      <c r="O61" s="286">
        <v>30689681</v>
      </c>
      <c r="P61" s="286">
        <v>31425277</v>
      </c>
      <c r="Q61" s="286">
        <v>32355570</v>
      </c>
      <c r="R61" s="286">
        <v>31670077</v>
      </c>
      <c r="S61" s="286">
        <v>31577237</v>
      </c>
      <c r="T61" s="286">
        <v>32137089</v>
      </c>
      <c r="U61" s="286">
        <v>34559193</v>
      </c>
      <c r="V61" s="286">
        <v>34172992</v>
      </c>
      <c r="W61" s="286">
        <v>34322074</v>
      </c>
      <c r="X61" s="286">
        <v>34949928</v>
      </c>
      <c r="Y61" s="286">
        <v>32071433</v>
      </c>
      <c r="Z61" s="286">
        <v>32250551</v>
      </c>
      <c r="AA61" s="286">
        <v>31661822</v>
      </c>
      <c r="AB61" s="255"/>
    </row>
    <row r="62" spans="1:28" x14ac:dyDescent="0.25">
      <c r="A62" s="8"/>
      <c r="B62" s="178"/>
      <c r="C62" s="178"/>
      <c r="D62" s="178"/>
      <c r="E62" s="178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87"/>
      <c r="R62" s="287"/>
      <c r="S62" s="287"/>
      <c r="T62" s="287"/>
      <c r="U62" s="288"/>
      <c r="V62" s="288"/>
      <c r="W62" s="288"/>
      <c r="X62" s="288"/>
      <c r="Y62" s="288"/>
      <c r="Z62" s="288"/>
      <c r="AA62" s="288"/>
    </row>
    <row r="63" spans="1:28" x14ac:dyDescent="0.25">
      <c r="A63" s="14" t="s">
        <v>259</v>
      </c>
      <c r="B63" s="169"/>
      <c r="C63" s="169"/>
      <c r="D63" s="169"/>
      <c r="E63" s="169"/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T63" s="253"/>
    </row>
    <row r="64" spans="1:28" x14ac:dyDescent="0.25">
      <c r="A64" s="20" t="s">
        <v>260</v>
      </c>
      <c r="B64" s="171"/>
      <c r="C64" s="171"/>
      <c r="D64" s="171"/>
      <c r="E64" s="171"/>
      <c r="F64" s="282"/>
      <c r="G64" s="282"/>
      <c r="H64" s="282"/>
      <c r="I64" s="282"/>
      <c r="J64" s="282"/>
      <c r="K64" s="282"/>
      <c r="L64" s="282"/>
      <c r="M64" s="282"/>
      <c r="N64" s="282"/>
      <c r="O64" s="282"/>
      <c r="P64" s="282"/>
      <c r="T64" s="253"/>
    </row>
    <row r="65" spans="1:28" x14ac:dyDescent="0.25">
      <c r="A65" s="20" t="s">
        <v>261</v>
      </c>
      <c r="B65" s="22">
        <v>13986284</v>
      </c>
      <c r="C65" s="22">
        <v>14304949</v>
      </c>
      <c r="D65" s="22">
        <v>14304949</v>
      </c>
      <c r="E65" s="22">
        <v>15772945</v>
      </c>
      <c r="F65" s="22">
        <v>8762747</v>
      </c>
      <c r="G65" s="22">
        <v>8762747</v>
      </c>
      <c r="H65" s="22">
        <v>8762747</v>
      </c>
      <c r="I65" s="22">
        <v>8762747</v>
      </c>
      <c r="J65" s="22">
        <v>8762747</v>
      </c>
      <c r="K65" s="22">
        <v>8762747</v>
      </c>
      <c r="L65" s="22">
        <v>8762747</v>
      </c>
      <c r="M65" s="22">
        <v>8762747</v>
      </c>
      <c r="N65" s="22">
        <v>8762747</v>
      </c>
      <c r="O65" s="22">
        <v>8762747</v>
      </c>
      <c r="P65" s="22">
        <v>8762747</v>
      </c>
      <c r="Q65" s="22">
        <v>8762747</v>
      </c>
      <c r="R65" s="22">
        <v>8762747</v>
      </c>
      <c r="S65" s="22">
        <v>8762747</v>
      </c>
      <c r="T65" s="22">
        <v>8762747</v>
      </c>
      <c r="U65" s="22">
        <v>8762747</v>
      </c>
      <c r="V65" s="22">
        <v>8762747</v>
      </c>
      <c r="W65" s="22">
        <v>8762747</v>
      </c>
      <c r="X65" s="22">
        <v>8762747</v>
      </c>
      <c r="Y65" s="22">
        <v>8762747</v>
      </c>
      <c r="Z65" s="22">
        <v>8762747</v>
      </c>
      <c r="AA65" s="22">
        <v>8762747</v>
      </c>
      <c r="AB65" s="253"/>
    </row>
    <row r="66" spans="1:28" x14ac:dyDescent="0.25">
      <c r="A66" s="20" t="s">
        <v>263</v>
      </c>
      <c r="B66" s="22">
        <v>240209</v>
      </c>
      <c r="C66" s="22">
        <v>240209</v>
      </c>
      <c r="D66" s="22">
        <v>240209</v>
      </c>
      <c r="E66" s="22">
        <v>475088</v>
      </c>
      <c r="F66" s="22">
        <v>7485286</v>
      </c>
      <c r="G66" s="22">
        <v>7412882</v>
      </c>
      <c r="H66" s="22">
        <v>7412882</v>
      </c>
      <c r="I66" s="22">
        <v>7412882</v>
      </c>
      <c r="J66" s="22">
        <v>7412882</v>
      </c>
      <c r="K66" s="22">
        <v>7953021</v>
      </c>
      <c r="L66" s="22">
        <v>7953021</v>
      </c>
      <c r="M66" s="22">
        <v>7953021</v>
      </c>
      <c r="N66" s="22">
        <v>7953021</v>
      </c>
      <c r="O66" s="22">
        <v>9037699</v>
      </c>
      <c r="P66" s="22">
        <v>9037699</v>
      </c>
      <c r="Q66" s="22">
        <v>9037699</v>
      </c>
      <c r="R66" s="22">
        <v>9037699</v>
      </c>
      <c r="S66" s="22">
        <v>10393686</v>
      </c>
      <c r="T66" s="22">
        <v>10393686</v>
      </c>
      <c r="U66" s="22">
        <v>10393686</v>
      </c>
      <c r="V66" s="22">
        <v>10393686</v>
      </c>
      <c r="W66" s="22">
        <v>11277247</v>
      </c>
      <c r="X66" s="22">
        <v>11277247</v>
      </c>
      <c r="Y66" s="22">
        <v>11277247</v>
      </c>
      <c r="Z66" s="22">
        <v>11277247</v>
      </c>
      <c r="AA66" s="22">
        <v>7823339</v>
      </c>
      <c r="AB66" s="253"/>
    </row>
    <row r="67" spans="1:28" x14ac:dyDescent="0.25">
      <c r="A67" s="20" t="s">
        <v>264</v>
      </c>
      <c r="B67" s="171">
        <v>-6238</v>
      </c>
      <c r="C67" s="171">
        <v>-6195</v>
      </c>
      <c r="D67" s="171">
        <v>-9153</v>
      </c>
      <c r="E67" s="280">
        <v>0</v>
      </c>
      <c r="F67" s="280">
        <v>0</v>
      </c>
      <c r="G67" s="280">
        <v>0</v>
      </c>
      <c r="H67" s="280">
        <v>0</v>
      </c>
      <c r="I67" s="280">
        <v>0</v>
      </c>
      <c r="J67" s="282">
        <v>-9586</v>
      </c>
      <c r="K67" s="282">
        <v>-32514</v>
      </c>
      <c r="L67" s="282">
        <v>-72384</v>
      </c>
      <c r="M67" s="282">
        <v>-153703</v>
      </c>
      <c r="N67" s="282">
        <v>-151005</v>
      </c>
      <c r="O67" s="282">
        <v>-123859</v>
      </c>
      <c r="P67" s="282">
        <v>-118166</v>
      </c>
      <c r="Q67" s="282">
        <v>-126651</v>
      </c>
      <c r="R67" s="282">
        <v>-120489</v>
      </c>
      <c r="S67" s="282">
        <v>-144845</v>
      </c>
      <c r="T67" s="282">
        <v>-157817</v>
      </c>
      <c r="U67" s="282">
        <v>-143019</v>
      </c>
      <c r="V67" s="282">
        <v>-130453</v>
      </c>
      <c r="W67" s="282">
        <v>-103630</v>
      </c>
      <c r="X67" s="282">
        <v>-92755</v>
      </c>
      <c r="Y67" s="282">
        <v>-73414</v>
      </c>
      <c r="Z67" s="282">
        <v>-53043</v>
      </c>
      <c r="AA67" s="282">
        <v>-33849</v>
      </c>
      <c r="AB67" s="255"/>
    </row>
    <row r="68" spans="1:28" x14ac:dyDescent="0.25">
      <c r="A68" s="20" t="s">
        <v>414</v>
      </c>
      <c r="B68" s="290">
        <v>0</v>
      </c>
      <c r="C68" s="290">
        <v>0</v>
      </c>
      <c r="D68" s="280">
        <v>0</v>
      </c>
      <c r="E68" s="280">
        <v>0</v>
      </c>
      <c r="F68" s="280">
        <v>0</v>
      </c>
      <c r="G68" s="280">
        <v>0</v>
      </c>
      <c r="H68" s="280">
        <v>0</v>
      </c>
      <c r="I68" s="280">
        <v>0</v>
      </c>
      <c r="J68" s="280">
        <v>0</v>
      </c>
      <c r="K68" s="282">
        <v>9226</v>
      </c>
      <c r="L68" s="291">
        <v>0</v>
      </c>
      <c r="M68" s="291">
        <v>0</v>
      </c>
      <c r="N68" s="291">
        <v>0</v>
      </c>
      <c r="O68" s="291">
        <v>0</v>
      </c>
      <c r="P68" s="291">
        <v>0</v>
      </c>
      <c r="Q68" s="291">
        <v>0</v>
      </c>
      <c r="R68" s="291">
        <v>0</v>
      </c>
      <c r="S68" s="291">
        <v>0</v>
      </c>
      <c r="T68" s="291">
        <v>0</v>
      </c>
      <c r="U68" s="291">
        <v>0</v>
      </c>
      <c r="V68" s="291">
        <v>0</v>
      </c>
      <c r="W68" s="291">
        <v>0</v>
      </c>
      <c r="X68" s="291">
        <v>0</v>
      </c>
      <c r="Y68" s="291">
        <v>0</v>
      </c>
      <c r="Z68" s="291">
        <v>0</v>
      </c>
      <c r="AA68" s="291">
        <v>0</v>
      </c>
    </row>
    <row r="69" spans="1:28" x14ac:dyDescent="0.25">
      <c r="A69" s="20" t="s">
        <v>220</v>
      </c>
      <c r="B69" s="290">
        <v>0</v>
      </c>
      <c r="C69" s="290">
        <v>0</v>
      </c>
      <c r="D69" s="171">
        <v>-213</v>
      </c>
      <c r="E69" s="282">
        <v>-271</v>
      </c>
      <c r="F69" s="282">
        <v>-150</v>
      </c>
      <c r="G69" s="282">
        <v>-120</v>
      </c>
      <c r="H69" s="282">
        <v>498</v>
      </c>
      <c r="I69" s="282">
        <v>87</v>
      </c>
      <c r="J69" s="282">
        <v>-60</v>
      </c>
      <c r="K69" s="282">
        <v>-164</v>
      </c>
      <c r="L69" s="282">
        <v>-350</v>
      </c>
      <c r="M69" s="282">
        <v>-370</v>
      </c>
      <c r="N69" s="282">
        <v>-442</v>
      </c>
      <c r="O69" s="282">
        <v>-11</v>
      </c>
      <c r="P69" s="282">
        <v>-289</v>
      </c>
      <c r="Q69" s="282">
        <v>-1631</v>
      </c>
      <c r="R69" s="282">
        <v>-1553</v>
      </c>
      <c r="S69" s="282">
        <v>-1590</v>
      </c>
      <c r="T69" s="282">
        <v>-1572</v>
      </c>
      <c r="U69" s="282">
        <v>-1386</v>
      </c>
      <c r="V69" s="282">
        <v>-1894</v>
      </c>
      <c r="W69" s="282">
        <v>-1358</v>
      </c>
      <c r="X69" s="282">
        <v>-1099</v>
      </c>
      <c r="Y69" s="282">
        <v>-791</v>
      </c>
      <c r="Z69" s="282">
        <v>-795</v>
      </c>
      <c r="AA69" s="282">
        <v>9131</v>
      </c>
      <c r="AB69" s="255"/>
    </row>
    <row r="70" spans="1:28" x14ac:dyDescent="0.25">
      <c r="A70" s="25" t="s">
        <v>415</v>
      </c>
      <c r="B70" s="263">
        <v>-2075344</v>
      </c>
      <c r="C70" s="263">
        <v>-2031013</v>
      </c>
      <c r="D70" s="263">
        <v>-1812843</v>
      </c>
      <c r="E70" s="292">
        <v>-1641605</v>
      </c>
      <c r="F70" s="292">
        <v>-1156121</v>
      </c>
      <c r="G70" s="292">
        <v>-1018094</v>
      </c>
      <c r="H70" s="292">
        <v>-716279</v>
      </c>
      <c r="I70" s="292">
        <f>'Hist. dane roczne'!D68</f>
        <v>-481414</v>
      </c>
      <c r="J70" s="292">
        <v>-111128</v>
      </c>
      <c r="K70" s="292">
        <v>-728008</v>
      </c>
      <c r="L70" s="292">
        <v>-306383</v>
      </c>
      <c r="M70" s="292">
        <v>-255014</v>
      </c>
      <c r="N70" s="292">
        <v>236127</v>
      </c>
      <c r="O70" s="292">
        <v>-909855</v>
      </c>
      <c r="P70" s="292">
        <v>-538065</v>
      </c>
      <c r="Q70" s="292">
        <v>-344999</v>
      </c>
      <c r="R70" s="292">
        <v>135928</v>
      </c>
      <c r="S70" s="292">
        <v>-1216944</v>
      </c>
      <c r="T70" s="292">
        <v>-890259</v>
      </c>
      <c r="U70" s="292">
        <v>-1045580</v>
      </c>
      <c r="V70" s="292">
        <v>-541413</v>
      </c>
      <c r="W70" s="292">
        <v>-1472252</v>
      </c>
      <c r="X70" s="292">
        <v>-1108646</v>
      </c>
      <c r="Y70" s="292">
        <v>-3947461</v>
      </c>
      <c r="Z70" s="292">
        <v>-3636418</v>
      </c>
      <c r="AA70" s="292">
        <v>-505261</v>
      </c>
      <c r="AB70" s="255"/>
    </row>
    <row r="71" spans="1:28" x14ac:dyDescent="0.25">
      <c r="A71" s="8"/>
      <c r="B71" s="178">
        <v>12144911</v>
      </c>
      <c r="C71" s="178">
        <v>12507950</v>
      </c>
      <c r="D71" s="178">
        <v>12722949</v>
      </c>
      <c r="E71" s="22">
        <v>14606157</v>
      </c>
      <c r="F71" s="22">
        <v>15091762</v>
      </c>
      <c r="G71" s="22">
        <v>15157415</v>
      </c>
      <c r="H71" s="22">
        <v>15459848</v>
      </c>
      <c r="I71" s="22">
        <f>'Hist. dane roczne'!D69</f>
        <v>15694302</v>
      </c>
      <c r="J71" s="22">
        <v>16054855</v>
      </c>
      <c r="K71" s="22">
        <v>15964308</v>
      </c>
      <c r="L71" s="22">
        <v>16336651</v>
      </c>
      <c r="M71" s="22">
        <v>16306681</v>
      </c>
      <c r="N71" s="22">
        <v>16800448</v>
      </c>
      <c r="O71" s="22">
        <v>16766721</v>
      </c>
      <c r="P71" s="22">
        <v>17143926</v>
      </c>
      <c r="Q71" s="22">
        <v>17327165</v>
      </c>
      <c r="R71" s="22">
        <v>17814332</v>
      </c>
      <c r="S71" s="22">
        <v>17793054</v>
      </c>
      <c r="T71" s="22">
        <v>18106785</v>
      </c>
      <c r="U71" s="22">
        <v>17966448</v>
      </c>
      <c r="V71" s="22">
        <v>18482673</v>
      </c>
      <c r="W71" s="22">
        <v>18462754</v>
      </c>
      <c r="X71" s="22">
        <v>18837494</v>
      </c>
      <c r="Y71" s="22">
        <v>16018328</v>
      </c>
      <c r="Z71" s="22">
        <v>16349738</v>
      </c>
      <c r="AA71" s="22">
        <v>16056107</v>
      </c>
      <c r="AB71" s="253"/>
    </row>
    <row r="72" spans="1:28" x14ac:dyDescent="0.25">
      <c r="A72" s="8"/>
      <c r="B72" s="178"/>
      <c r="C72" s="178"/>
      <c r="D72" s="178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2"/>
      <c r="U72" s="22"/>
      <c r="V72" s="22"/>
      <c r="W72" s="22"/>
      <c r="X72" s="22"/>
      <c r="Y72" s="22"/>
      <c r="Z72" s="22"/>
      <c r="AA72" s="22"/>
    </row>
    <row r="73" spans="1:28" x14ac:dyDescent="0.25">
      <c r="A73" s="8" t="s">
        <v>267</v>
      </c>
      <c r="B73" s="178">
        <v>2441911</v>
      </c>
      <c r="C73" s="178">
        <v>2289945</v>
      </c>
      <c r="D73" s="178">
        <v>2321695</v>
      </c>
      <c r="E73" s="22">
        <v>496279</v>
      </c>
      <c r="F73" s="22">
        <v>485227</v>
      </c>
      <c r="G73" s="22">
        <v>479419</v>
      </c>
      <c r="H73" s="22">
        <v>462626</v>
      </c>
      <c r="I73" s="22">
        <f>'Hist. dane roczne'!D71</f>
        <v>455203</v>
      </c>
      <c r="J73" s="22">
        <v>474598</v>
      </c>
      <c r="K73" s="22">
        <v>474902</v>
      </c>
      <c r="L73" s="22">
        <v>502763</v>
      </c>
      <c r="M73" s="22">
        <v>493339</v>
      </c>
      <c r="N73" s="22">
        <v>515613</v>
      </c>
      <c r="O73" s="22">
        <v>526444</v>
      </c>
      <c r="P73" s="22">
        <v>531410</v>
      </c>
      <c r="Q73" s="22">
        <v>466334</v>
      </c>
      <c r="R73" s="22">
        <v>54808</v>
      </c>
      <c r="S73" s="22">
        <v>29574</v>
      </c>
      <c r="T73" s="22">
        <v>30306</v>
      </c>
      <c r="U73" s="22">
        <v>30116</v>
      </c>
      <c r="V73" s="22">
        <v>30662</v>
      </c>
      <c r="W73" s="22">
        <v>29040</v>
      </c>
      <c r="X73" s="22">
        <v>29207</v>
      </c>
      <c r="Y73" s="22">
        <v>29829</v>
      </c>
      <c r="Z73" s="22">
        <v>30344</v>
      </c>
      <c r="AA73" s="22">
        <v>28016</v>
      </c>
      <c r="AB73" s="253"/>
    </row>
    <row r="74" spans="1:28" x14ac:dyDescent="0.25">
      <c r="A74" s="8"/>
      <c r="B74" s="178"/>
      <c r="C74" s="178"/>
      <c r="D74" s="178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2"/>
      <c r="U74" s="22"/>
      <c r="V74" s="22"/>
      <c r="W74" s="22"/>
      <c r="X74" s="22"/>
      <c r="Y74" s="22"/>
      <c r="Z74" s="22"/>
      <c r="AA74" s="22"/>
    </row>
    <row r="75" spans="1:28" x14ac:dyDescent="0.25">
      <c r="A75" s="37" t="s">
        <v>268</v>
      </c>
      <c r="B75" s="293">
        <v>14586822</v>
      </c>
      <c r="C75" s="293">
        <v>14797895</v>
      </c>
      <c r="D75" s="293">
        <v>15044644</v>
      </c>
      <c r="E75" s="293">
        <v>15102436</v>
      </c>
      <c r="F75" s="293">
        <v>15576989</v>
      </c>
      <c r="G75" s="293">
        <v>15636834</v>
      </c>
      <c r="H75" s="293">
        <v>15922474</v>
      </c>
      <c r="I75" s="293">
        <f>'Hist. dane roczne'!D73</f>
        <v>16149505</v>
      </c>
      <c r="J75" s="293">
        <v>16529453</v>
      </c>
      <c r="K75" s="293">
        <v>16439210</v>
      </c>
      <c r="L75" s="293">
        <v>16839414</v>
      </c>
      <c r="M75" s="293">
        <v>16800020</v>
      </c>
      <c r="N75" s="293">
        <v>17316061</v>
      </c>
      <c r="O75" s="293">
        <v>17293165</v>
      </c>
      <c r="P75" s="293">
        <v>17675336</v>
      </c>
      <c r="Q75" s="293">
        <v>17793499</v>
      </c>
      <c r="R75" s="293">
        <v>17869140</v>
      </c>
      <c r="S75" s="293">
        <v>17822628</v>
      </c>
      <c r="T75" s="293">
        <v>18137091</v>
      </c>
      <c r="U75" s="293">
        <v>17996564</v>
      </c>
      <c r="V75" s="293">
        <v>18513335</v>
      </c>
      <c r="W75" s="293">
        <v>18491794</v>
      </c>
      <c r="X75" s="293">
        <v>18866701</v>
      </c>
      <c r="Y75" s="293">
        <v>16048157</v>
      </c>
      <c r="Z75" s="293">
        <v>16380082</v>
      </c>
      <c r="AA75" s="293">
        <v>16084123</v>
      </c>
      <c r="AB75" s="255"/>
    </row>
    <row r="76" spans="1:28" x14ac:dyDescent="0.25">
      <c r="A76" s="8"/>
      <c r="B76" s="178"/>
      <c r="C76" s="178"/>
      <c r="D76" s="178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87"/>
      <c r="R76" s="287"/>
      <c r="S76" s="287"/>
      <c r="T76" s="287"/>
      <c r="U76" s="288"/>
      <c r="V76" s="288"/>
      <c r="W76" s="288"/>
      <c r="X76" s="288"/>
      <c r="Y76" s="288"/>
      <c r="Z76" s="288"/>
      <c r="AA76" s="288"/>
    </row>
    <row r="77" spans="1:28" x14ac:dyDescent="0.25">
      <c r="A77" s="14" t="s">
        <v>269</v>
      </c>
      <c r="B77" s="169"/>
      <c r="C77" s="169"/>
      <c r="D77" s="169"/>
      <c r="E77" s="289"/>
      <c r="F77" s="289"/>
      <c r="G77" s="289"/>
      <c r="H77" s="289"/>
      <c r="I77" s="289"/>
      <c r="J77" s="289"/>
      <c r="K77" s="289"/>
      <c r="L77" s="289"/>
      <c r="M77" s="289"/>
      <c r="N77" s="289"/>
      <c r="O77" s="289"/>
      <c r="P77" s="289"/>
      <c r="S77" s="255"/>
      <c r="T77" s="253"/>
    </row>
    <row r="78" spans="1:28" x14ac:dyDescent="0.25">
      <c r="A78" s="20" t="s">
        <v>416</v>
      </c>
      <c r="B78" s="22">
        <v>1146545</v>
      </c>
      <c r="C78" s="22">
        <v>989098</v>
      </c>
      <c r="D78" s="22">
        <v>917202</v>
      </c>
      <c r="E78" s="22">
        <v>1076178</v>
      </c>
      <c r="F78" s="22">
        <v>1104014</v>
      </c>
      <c r="G78" s="22">
        <v>1045564</v>
      </c>
      <c r="H78" s="22">
        <v>1036475</v>
      </c>
      <c r="I78" s="22">
        <v>4251944</v>
      </c>
      <c r="J78" s="22">
        <v>4867857</v>
      </c>
      <c r="K78" s="22">
        <v>4883367</v>
      </c>
      <c r="L78" s="22">
        <v>5324024</v>
      </c>
      <c r="M78" s="22">
        <v>5222882</v>
      </c>
      <c r="N78" s="22">
        <v>5643271</v>
      </c>
      <c r="O78" s="22">
        <v>5606826</v>
      </c>
      <c r="P78" s="22">
        <v>5577394</v>
      </c>
      <c r="Q78" s="22">
        <v>5500532</v>
      </c>
      <c r="R78" s="22">
        <v>5827367</v>
      </c>
      <c r="S78" s="22">
        <v>6005603</v>
      </c>
      <c r="T78" s="22">
        <v>6183835</v>
      </c>
      <c r="U78" s="22">
        <v>7422332</v>
      </c>
      <c r="V78" s="22">
        <v>7371792</v>
      </c>
      <c r="W78" s="22">
        <v>7367670</v>
      </c>
      <c r="X78" s="22">
        <v>7648162</v>
      </c>
      <c r="Y78" s="22">
        <v>4890404</v>
      </c>
      <c r="Z78" s="22">
        <v>7722218</v>
      </c>
      <c r="AA78" s="22">
        <v>7727666</v>
      </c>
    </row>
    <row r="79" spans="1:28" x14ac:dyDescent="0.25">
      <c r="A79" s="20" t="s">
        <v>417</v>
      </c>
      <c r="B79" s="22">
        <v>78608</v>
      </c>
      <c r="C79" s="22">
        <v>75115</v>
      </c>
      <c r="D79" s="22">
        <v>71115</v>
      </c>
      <c r="E79" s="22">
        <v>67810</v>
      </c>
      <c r="F79" s="22">
        <v>64167</v>
      </c>
      <c r="G79" s="22">
        <v>61246</v>
      </c>
      <c r="H79" s="22">
        <v>59665</v>
      </c>
      <c r="I79" s="22">
        <v>56232</v>
      </c>
      <c r="J79" s="22">
        <v>51418</v>
      </c>
      <c r="K79" s="22">
        <v>48780</v>
      </c>
      <c r="L79" s="22">
        <v>46004</v>
      </c>
      <c r="M79" s="22">
        <v>41796</v>
      </c>
      <c r="N79" s="22">
        <v>37023</v>
      </c>
      <c r="O79" s="22">
        <v>34874</v>
      </c>
      <c r="P79" s="22">
        <v>33444</v>
      </c>
      <c r="Q79" s="22">
        <v>61643</v>
      </c>
      <c r="R79" s="22">
        <v>56025</v>
      </c>
      <c r="S79" s="22">
        <v>52858</v>
      </c>
      <c r="T79" s="22">
        <v>50388</v>
      </c>
      <c r="U79" s="22">
        <v>46443</v>
      </c>
      <c r="V79" s="22">
        <v>41961</v>
      </c>
      <c r="W79" s="22">
        <v>39652</v>
      </c>
      <c r="X79" s="22">
        <v>37430</v>
      </c>
      <c r="Y79" s="22">
        <v>33723</v>
      </c>
      <c r="Z79" s="22">
        <v>29300</v>
      </c>
      <c r="AA79" s="22">
        <v>26661</v>
      </c>
      <c r="AB79" s="253"/>
    </row>
    <row r="80" spans="1:28" x14ac:dyDescent="0.25">
      <c r="A80" s="20" t="s">
        <v>418</v>
      </c>
      <c r="B80" s="22">
        <v>8579</v>
      </c>
      <c r="C80" s="22">
        <v>8041</v>
      </c>
      <c r="D80" s="22">
        <v>10689</v>
      </c>
      <c r="E80" s="22">
        <v>6910</v>
      </c>
      <c r="F80" s="22">
        <v>8709</v>
      </c>
      <c r="G80" s="22">
        <v>6213</v>
      </c>
      <c r="H80" s="22">
        <v>7111</v>
      </c>
      <c r="I80" s="22">
        <v>7968</v>
      </c>
      <c r="J80" s="22">
        <v>6533</v>
      </c>
      <c r="K80" s="22">
        <v>7197</v>
      </c>
      <c r="L80" s="22">
        <v>6390</v>
      </c>
      <c r="M80" s="22">
        <v>7890</v>
      </c>
      <c r="N80" s="22">
        <v>8089</v>
      </c>
      <c r="O80" s="22">
        <v>9180</v>
      </c>
      <c r="P80" s="22">
        <v>8241</v>
      </c>
      <c r="Q80" s="22">
        <v>7827</v>
      </c>
      <c r="R80" s="22">
        <v>7299</v>
      </c>
      <c r="S80" s="22">
        <v>46841</v>
      </c>
      <c r="T80" s="22">
        <v>52338</v>
      </c>
      <c r="U80" s="22">
        <v>48986</v>
      </c>
      <c r="V80" s="22">
        <v>53148</v>
      </c>
      <c r="W80" s="22">
        <v>64058</v>
      </c>
      <c r="X80" s="22">
        <v>82828</v>
      </c>
      <c r="Y80" s="22">
        <v>86549</v>
      </c>
      <c r="Z80" s="22">
        <v>48290</v>
      </c>
      <c r="AA80" s="22">
        <v>47775</v>
      </c>
      <c r="AB80" s="253"/>
    </row>
    <row r="81" spans="1:28" x14ac:dyDescent="0.25">
      <c r="A81" s="20" t="s">
        <v>419</v>
      </c>
      <c r="B81" s="283" t="s">
        <v>420</v>
      </c>
      <c r="C81" s="283" t="s">
        <v>420</v>
      </c>
      <c r="D81" s="283" t="s">
        <v>420</v>
      </c>
      <c r="E81" s="290">
        <v>0</v>
      </c>
      <c r="F81" s="283" t="s">
        <v>420</v>
      </c>
      <c r="G81" s="283" t="s">
        <v>420</v>
      </c>
      <c r="H81" s="283" t="s">
        <v>420</v>
      </c>
      <c r="I81" s="294">
        <v>0</v>
      </c>
      <c r="J81" s="283" t="s">
        <v>420</v>
      </c>
      <c r="K81" s="283" t="s">
        <v>420</v>
      </c>
      <c r="L81" s="283" t="s">
        <v>420</v>
      </c>
      <c r="M81" s="22">
        <v>150594</v>
      </c>
      <c r="N81" s="22">
        <v>154956</v>
      </c>
      <c r="O81" s="22">
        <v>83862</v>
      </c>
      <c r="P81" s="22">
        <v>93540</v>
      </c>
      <c r="Q81" s="22">
        <v>87573</v>
      </c>
      <c r="R81" s="22">
        <v>96139</v>
      </c>
      <c r="S81" s="22">
        <v>103198</v>
      </c>
      <c r="T81" s="22">
        <v>132773</v>
      </c>
      <c r="U81" s="22">
        <v>93501</v>
      </c>
      <c r="V81" s="22">
        <v>95096</v>
      </c>
      <c r="W81" s="22">
        <v>93800</v>
      </c>
      <c r="X81" s="22">
        <v>54838</v>
      </c>
      <c r="Y81" s="22">
        <v>15156</v>
      </c>
      <c r="Z81" s="22">
        <v>6</v>
      </c>
      <c r="AA81" s="22">
        <v>12</v>
      </c>
    </row>
    <row r="82" spans="1:28" x14ac:dyDescent="0.25">
      <c r="A82" s="20" t="s">
        <v>271</v>
      </c>
      <c r="B82" s="383" t="s">
        <v>421</v>
      </c>
      <c r="C82" s="383" t="s">
        <v>422</v>
      </c>
      <c r="D82" s="383" t="s">
        <v>423</v>
      </c>
      <c r="E82" s="22">
        <v>1158941</v>
      </c>
      <c r="F82" s="383" t="s">
        <v>424</v>
      </c>
      <c r="G82" s="383" t="s">
        <v>425</v>
      </c>
      <c r="H82" s="383" t="s">
        <v>426</v>
      </c>
      <c r="I82" s="282">
        <v>1203375</v>
      </c>
      <c r="J82" s="383" t="s">
        <v>427</v>
      </c>
      <c r="K82" s="383" t="s">
        <v>428</v>
      </c>
      <c r="L82" s="383" t="s">
        <v>429</v>
      </c>
      <c r="M82" s="22">
        <v>1568219</v>
      </c>
      <c r="N82" s="22">
        <v>1555705</v>
      </c>
      <c r="O82" s="22">
        <v>1543852</v>
      </c>
      <c r="P82" s="22">
        <v>1545749</v>
      </c>
      <c r="Q82" s="22">
        <v>1497814</v>
      </c>
      <c r="R82" s="22">
        <v>1491859</v>
      </c>
      <c r="S82" s="22">
        <v>1494542</v>
      </c>
      <c r="T82" s="22">
        <v>1497375</v>
      </c>
      <c r="U82" s="22">
        <v>1948323</v>
      </c>
      <c r="V82" s="22">
        <v>1952636</v>
      </c>
      <c r="W82" s="22">
        <v>1940365</v>
      </c>
      <c r="X82" s="22">
        <v>1837619</v>
      </c>
      <c r="Y82" s="22">
        <v>1735206</v>
      </c>
      <c r="Z82" s="22">
        <v>1771941</v>
      </c>
      <c r="AA82" s="22">
        <v>1767471</v>
      </c>
      <c r="AB82" s="253"/>
    </row>
    <row r="83" spans="1:28" x14ac:dyDescent="0.25">
      <c r="A83" s="20" t="s">
        <v>430</v>
      </c>
      <c r="B83" s="384"/>
      <c r="C83" s="384">
        <v>33607</v>
      </c>
      <c r="D83" s="384"/>
      <c r="E83" s="22">
        <v>30861</v>
      </c>
      <c r="F83" s="385">
        <v>1079754</v>
      </c>
      <c r="G83" s="385"/>
      <c r="H83" s="385">
        <v>1105630</v>
      </c>
      <c r="I83" s="282">
        <v>61200</v>
      </c>
      <c r="J83" s="385">
        <v>1215105</v>
      </c>
      <c r="K83" s="385"/>
      <c r="L83" s="384">
        <v>1199581</v>
      </c>
      <c r="M83" s="22">
        <v>82523</v>
      </c>
      <c r="N83" s="22">
        <v>83534</v>
      </c>
      <c r="O83" s="22">
        <v>84558</v>
      </c>
      <c r="P83" s="22">
        <v>85612</v>
      </c>
      <c r="Q83" s="22">
        <v>141408</v>
      </c>
      <c r="R83" s="22">
        <v>142931</v>
      </c>
      <c r="S83" s="22">
        <v>140542</v>
      </c>
      <c r="T83" s="22">
        <v>142200</v>
      </c>
      <c r="U83" s="22">
        <v>165278</v>
      </c>
      <c r="V83" s="22">
        <v>166363</v>
      </c>
      <c r="W83" s="22">
        <v>166795</v>
      </c>
      <c r="X83" s="22">
        <v>167772</v>
      </c>
      <c r="Y83" s="22">
        <v>377372</v>
      </c>
      <c r="Z83" s="22">
        <v>440582</v>
      </c>
      <c r="AA83" s="22">
        <v>442561</v>
      </c>
      <c r="AB83" s="253"/>
    </row>
    <row r="84" spans="1:28" x14ac:dyDescent="0.25">
      <c r="A84" s="20" t="s">
        <v>273</v>
      </c>
      <c r="B84" s="171">
        <v>618675</v>
      </c>
      <c r="C84" s="171">
        <v>610845</v>
      </c>
      <c r="D84" s="171">
        <v>606469</v>
      </c>
      <c r="E84" s="22">
        <v>644522</v>
      </c>
      <c r="F84" s="22">
        <v>642121</v>
      </c>
      <c r="G84" s="22">
        <v>637279</v>
      </c>
      <c r="H84" s="22">
        <v>628452</v>
      </c>
      <c r="I84" s="22">
        <f>'Hist. dane roczne'!D82</f>
        <v>569562</v>
      </c>
      <c r="J84" s="22">
        <v>636800</v>
      </c>
      <c r="K84" s="22">
        <v>630731</v>
      </c>
      <c r="L84" s="22">
        <v>633024</v>
      </c>
      <c r="M84" s="22">
        <v>639643</v>
      </c>
      <c r="N84" s="22">
        <v>715776</v>
      </c>
      <c r="O84" s="22">
        <v>729055</v>
      </c>
      <c r="P84" s="22">
        <v>750612</v>
      </c>
      <c r="Q84" s="22">
        <v>668487</v>
      </c>
      <c r="R84" s="22">
        <v>677044</v>
      </c>
      <c r="S84" s="22">
        <v>680537</v>
      </c>
      <c r="T84" s="22">
        <v>670383</v>
      </c>
      <c r="U84" s="22">
        <v>662072</v>
      </c>
      <c r="V84" s="22">
        <v>648602</v>
      </c>
      <c r="W84" s="22">
        <v>643584</v>
      </c>
      <c r="X84" s="22">
        <v>634492</v>
      </c>
      <c r="Y84" s="22">
        <v>650364</v>
      </c>
      <c r="Z84" s="22">
        <v>640413</v>
      </c>
      <c r="AA84" s="22">
        <v>642503</v>
      </c>
      <c r="AB84" s="253"/>
    </row>
    <row r="85" spans="1:28" x14ac:dyDescent="0.25">
      <c r="A85" s="186" t="s">
        <v>431</v>
      </c>
      <c r="B85" s="193">
        <v>1175970</v>
      </c>
      <c r="C85" s="193">
        <v>1183700</v>
      </c>
      <c r="D85" s="193">
        <v>1203448</v>
      </c>
      <c r="E85" s="257">
        <v>1191155</v>
      </c>
      <c r="F85" s="257">
        <v>1253651</v>
      </c>
      <c r="G85" s="257">
        <v>1280221</v>
      </c>
      <c r="H85" s="257">
        <v>1308401</v>
      </c>
      <c r="I85" s="257">
        <f>'Hist. dane roczne'!D83</f>
        <v>1388424</v>
      </c>
      <c r="J85" s="257">
        <v>1309864</v>
      </c>
      <c r="K85" s="257">
        <v>1425554</v>
      </c>
      <c r="L85" s="257">
        <v>1395654</v>
      </c>
      <c r="M85" s="257">
        <v>1367687</v>
      </c>
      <c r="N85" s="257">
        <v>1470076</v>
      </c>
      <c r="O85" s="257">
        <v>1380064</v>
      </c>
      <c r="P85" s="257">
        <v>1348450</v>
      </c>
      <c r="Q85" s="257">
        <v>1339057</v>
      </c>
      <c r="R85" s="257">
        <v>1483655</v>
      </c>
      <c r="S85" s="257">
        <v>1451536</v>
      </c>
      <c r="T85" s="257">
        <v>1411304</v>
      </c>
      <c r="U85" s="257">
        <v>1357157</v>
      </c>
      <c r="V85" s="257">
        <v>1326607</v>
      </c>
      <c r="W85" s="257">
        <v>1461528</v>
      </c>
      <c r="X85" s="257">
        <v>1472722</v>
      </c>
      <c r="Y85" s="257">
        <v>795176</v>
      </c>
      <c r="Z85" s="257">
        <v>863524</v>
      </c>
      <c r="AA85" s="257">
        <v>732661</v>
      </c>
      <c r="AB85" s="253"/>
    </row>
    <row r="86" spans="1:28" x14ac:dyDescent="0.25">
      <c r="A86" s="281"/>
      <c r="B86" s="171">
        <v>4019196</v>
      </c>
      <c r="C86" s="171">
        <v>3860387</v>
      </c>
      <c r="D86" s="171">
        <v>3817562</v>
      </c>
      <c r="E86" s="171">
        <v>4176377</v>
      </c>
      <c r="F86" s="171">
        <v>4152416</v>
      </c>
      <c r="G86" s="171">
        <v>4115836</v>
      </c>
      <c r="H86" s="171">
        <v>4145734</v>
      </c>
      <c r="I86" s="171">
        <f>'Hist. dane roczne'!D84</f>
        <v>7538705</v>
      </c>
      <c r="J86" s="171">
        <v>8087577</v>
      </c>
      <c r="K86" s="171">
        <v>8189894</v>
      </c>
      <c r="L86" s="171">
        <v>8604677</v>
      </c>
      <c r="M86" s="171">
        <v>9081234</v>
      </c>
      <c r="N86" s="171">
        <v>9668430</v>
      </c>
      <c r="O86" s="171">
        <v>9472271</v>
      </c>
      <c r="P86" s="171">
        <v>9443042</v>
      </c>
      <c r="Q86" s="171">
        <v>9304341</v>
      </c>
      <c r="R86" s="171">
        <v>9782319</v>
      </c>
      <c r="S86" s="171">
        <v>9975657</v>
      </c>
      <c r="T86" s="171">
        <v>10140596</v>
      </c>
      <c r="U86" s="171">
        <v>11744092</v>
      </c>
      <c r="V86" s="171">
        <v>11656205</v>
      </c>
      <c r="W86" s="171">
        <v>11777452</v>
      </c>
      <c r="X86" s="171">
        <v>11935863</v>
      </c>
      <c r="Y86" s="171">
        <f>SUM(Y78:Y85)</f>
        <v>8583950</v>
      </c>
      <c r="Z86" s="171">
        <v>11516274</v>
      </c>
      <c r="AA86" s="171">
        <v>11387310</v>
      </c>
      <c r="AB86" s="255"/>
    </row>
    <row r="87" spans="1:28" x14ac:dyDescent="0.25">
      <c r="A87" s="20" t="s">
        <v>276</v>
      </c>
      <c r="B87" s="171"/>
      <c r="C87" s="171"/>
      <c r="D87" s="171"/>
      <c r="E87" s="282"/>
      <c r="F87" s="282"/>
      <c r="G87" s="282"/>
      <c r="H87" s="282"/>
      <c r="I87" s="282"/>
      <c r="J87" s="282"/>
      <c r="K87" s="282"/>
      <c r="L87" s="282"/>
      <c r="M87" s="282"/>
      <c r="N87" s="282"/>
      <c r="O87" s="282"/>
      <c r="P87" s="282"/>
      <c r="Q87" s="282"/>
      <c r="T87" s="22"/>
    </row>
    <row r="88" spans="1:28" x14ac:dyDescent="0.25">
      <c r="A88" s="20" t="s">
        <v>432</v>
      </c>
      <c r="B88" s="171">
        <v>583460</v>
      </c>
      <c r="C88" s="171">
        <v>534404</v>
      </c>
      <c r="D88" s="171">
        <v>502486</v>
      </c>
      <c r="E88" s="171">
        <v>325027</v>
      </c>
      <c r="F88" s="171">
        <v>215307</v>
      </c>
      <c r="G88" s="171">
        <v>195849</v>
      </c>
      <c r="H88" s="171">
        <v>207480</v>
      </c>
      <c r="I88" s="171">
        <v>214169</v>
      </c>
      <c r="J88" s="171">
        <v>330178</v>
      </c>
      <c r="K88" s="171">
        <v>197340</v>
      </c>
      <c r="L88" s="171">
        <v>254165</v>
      </c>
      <c r="M88" s="171">
        <v>286990</v>
      </c>
      <c r="N88" s="171">
        <v>426987</v>
      </c>
      <c r="O88" s="171">
        <v>286568</v>
      </c>
      <c r="P88" s="171">
        <v>272154</v>
      </c>
      <c r="Q88" s="171">
        <v>284633</v>
      </c>
      <c r="R88" s="171">
        <v>613883</v>
      </c>
      <c r="S88" s="171">
        <v>338249</v>
      </c>
      <c r="T88" s="171">
        <v>380334</v>
      </c>
      <c r="U88" s="171">
        <v>631530</v>
      </c>
      <c r="V88" s="22">
        <v>636493</v>
      </c>
      <c r="W88" s="22">
        <v>513116</v>
      </c>
      <c r="X88" s="22">
        <v>564548</v>
      </c>
      <c r="Y88" s="22">
        <v>3201805</v>
      </c>
      <c r="Z88" s="22">
        <v>1089967</v>
      </c>
      <c r="AA88" s="22">
        <v>1055557</v>
      </c>
    </row>
    <row r="89" spans="1:28" x14ac:dyDescent="0.25">
      <c r="A89" s="20" t="s">
        <v>433</v>
      </c>
      <c r="B89" s="171">
        <v>34854</v>
      </c>
      <c r="C89" s="171">
        <v>31777</v>
      </c>
      <c r="D89" s="171">
        <v>27281</v>
      </c>
      <c r="E89" s="171">
        <v>23452</v>
      </c>
      <c r="F89" s="171">
        <v>19835</v>
      </c>
      <c r="G89" s="171">
        <v>17786</v>
      </c>
      <c r="H89" s="171">
        <v>17173</v>
      </c>
      <c r="I89" s="171">
        <v>14761</v>
      </c>
      <c r="J89" s="171">
        <v>14668</v>
      </c>
      <c r="K89" s="171">
        <v>14701</v>
      </c>
      <c r="L89" s="171">
        <v>14514</v>
      </c>
      <c r="M89" s="171">
        <v>14482</v>
      </c>
      <c r="N89" s="171">
        <v>14491</v>
      </c>
      <c r="O89" s="171">
        <v>14662</v>
      </c>
      <c r="P89" s="171">
        <v>14108</v>
      </c>
      <c r="Q89" s="171">
        <v>17327</v>
      </c>
      <c r="R89" s="171">
        <v>17535</v>
      </c>
      <c r="S89" s="171">
        <v>17171</v>
      </c>
      <c r="T89" s="171">
        <v>15961</v>
      </c>
      <c r="U89" s="171">
        <v>13461</v>
      </c>
      <c r="V89" s="22">
        <v>13300</v>
      </c>
      <c r="W89" s="22">
        <v>13114</v>
      </c>
      <c r="X89" s="22">
        <v>12953</v>
      </c>
      <c r="Y89" s="22">
        <v>12715</v>
      </c>
      <c r="Z89" s="22">
        <v>15527</v>
      </c>
      <c r="AA89" s="22">
        <v>15163</v>
      </c>
      <c r="AB89" s="253"/>
    </row>
    <row r="90" spans="1:28" x14ac:dyDescent="0.25">
      <c r="A90" s="20" t="s">
        <v>434</v>
      </c>
      <c r="B90" s="171">
        <v>1114809</v>
      </c>
      <c r="C90" s="171">
        <v>1127523</v>
      </c>
      <c r="D90" s="171">
        <v>1198537</v>
      </c>
      <c r="E90" s="171">
        <v>1622806</v>
      </c>
      <c r="F90" s="171">
        <v>1087509</v>
      </c>
      <c r="G90" s="171">
        <f>1479627+165</f>
        <v>1479792</v>
      </c>
      <c r="H90" s="171">
        <v>1203576</v>
      </c>
      <c r="I90" s="171">
        <v>2349121</v>
      </c>
      <c r="J90" s="171">
        <v>1663080</v>
      </c>
      <c r="K90" s="171">
        <v>2131516</v>
      </c>
      <c r="L90" s="171">
        <v>1835196</v>
      </c>
      <c r="M90" s="171">
        <v>2628449</v>
      </c>
      <c r="N90" s="171">
        <v>1456633</v>
      </c>
      <c r="O90" s="171">
        <v>1541706</v>
      </c>
      <c r="P90" s="171">
        <v>1653840</v>
      </c>
      <c r="Q90" s="171">
        <v>2023537</v>
      </c>
      <c r="R90" s="171">
        <v>1234267</v>
      </c>
      <c r="S90" s="171">
        <v>1625291</v>
      </c>
      <c r="T90" s="171">
        <v>1379263</v>
      </c>
      <c r="U90" s="171">
        <v>1866865</v>
      </c>
      <c r="V90" s="22">
        <v>1500099</v>
      </c>
      <c r="W90" s="22">
        <v>1702823</v>
      </c>
      <c r="X90" s="22">
        <v>1370925</v>
      </c>
      <c r="Y90" s="22">
        <v>1801262</v>
      </c>
      <c r="Z90" s="22">
        <v>1191331</v>
      </c>
      <c r="AA90" s="22">
        <v>1245369</v>
      </c>
      <c r="AB90" s="253"/>
    </row>
    <row r="91" spans="1:28" x14ac:dyDescent="0.25">
      <c r="A91" s="20" t="s">
        <v>419</v>
      </c>
      <c r="B91" s="283" t="s">
        <v>420</v>
      </c>
      <c r="C91" s="283" t="s">
        <v>420</v>
      </c>
      <c r="D91" s="283" t="s">
        <v>420</v>
      </c>
      <c r="E91" s="171">
        <v>6917</v>
      </c>
      <c r="F91" s="283" t="s">
        <v>420</v>
      </c>
      <c r="G91" s="283" t="s">
        <v>420</v>
      </c>
      <c r="H91" s="283" t="s">
        <v>420</v>
      </c>
      <c r="I91" s="282">
        <v>80</v>
      </c>
      <c r="J91" s="283" t="s">
        <v>420</v>
      </c>
      <c r="K91" s="283" t="s">
        <v>420</v>
      </c>
      <c r="L91" s="283" t="s">
        <v>420</v>
      </c>
      <c r="M91" s="171">
        <v>40624</v>
      </c>
      <c r="N91" s="171">
        <v>37549</v>
      </c>
      <c r="O91" s="171">
        <v>74161</v>
      </c>
      <c r="P91" s="171">
        <v>75648</v>
      </c>
      <c r="Q91" s="171">
        <v>73358</v>
      </c>
      <c r="R91" s="171">
        <v>75609</v>
      </c>
      <c r="S91" s="171">
        <v>80218</v>
      </c>
      <c r="T91" s="171">
        <v>85680</v>
      </c>
      <c r="U91" s="171">
        <v>102615</v>
      </c>
      <c r="V91" s="22">
        <v>106007</v>
      </c>
      <c r="W91" s="22">
        <v>98289</v>
      </c>
      <c r="X91" s="22">
        <v>99559</v>
      </c>
      <c r="Y91" s="22">
        <v>96953</v>
      </c>
      <c r="Z91" s="22">
        <v>154470</v>
      </c>
      <c r="AA91" s="22">
        <v>125840</v>
      </c>
      <c r="AB91" s="253"/>
    </row>
    <row r="92" spans="1:28" x14ac:dyDescent="0.25">
      <c r="A92" s="20" t="s">
        <v>271</v>
      </c>
      <c r="B92" s="383" t="s">
        <v>435</v>
      </c>
      <c r="C92" s="383" t="s">
        <v>436</v>
      </c>
      <c r="D92" s="383" t="s">
        <v>437</v>
      </c>
      <c r="E92" s="171">
        <v>169492</v>
      </c>
      <c r="F92" s="383" t="s">
        <v>438</v>
      </c>
      <c r="G92" s="383" t="s">
        <v>439</v>
      </c>
      <c r="H92" s="383" t="s">
        <v>440</v>
      </c>
      <c r="I92" s="171">
        <v>153676</v>
      </c>
      <c r="J92" s="383" t="s">
        <v>441</v>
      </c>
      <c r="K92" s="283" t="s">
        <v>442</v>
      </c>
      <c r="L92" s="383" t="s">
        <v>443</v>
      </c>
      <c r="M92" s="171">
        <v>167704</v>
      </c>
      <c r="N92" s="171">
        <v>173860</v>
      </c>
      <c r="O92" s="171">
        <v>165595</v>
      </c>
      <c r="P92" s="171">
        <v>167637</v>
      </c>
      <c r="Q92" s="171">
        <v>162368</v>
      </c>
      <c r="R92" s="171">
        <v>156783</v>
      </c>
      <c r="S92" s="171">
        <v>142315</v>
      </c>
      <c r="T92" s="171">
        <v>132840</v>
      </c>
      <c r="U92" s="22">
        <v>158954</v>
      </c>
      <c r="V92" s="22">
        <v>133955</v>
      </c>
      <c r="W92" s="22">
        <v>128598</v>
      </c>
      <c r="X92" s="22">
        <v>147881</v>
      </c>
      <c r="Y92" s="22">
        <v>172505</v>
      </c>
      <c r="Z92" s="22">
        <v>154652</v>
      </c>
      <c r="AA92" s="22">
        <v>146575</v>
      </c>
      <c r="AB92" s="253"/>
    </row>
    <row r="93" spans="1:28" x14ac:dyDescent="0.25">
      <c r="A93" s="20" t="s">
        <v>430</v>
      </c>
      <c r="B93" s="384">
        <v>476467</v>
      </c>
      <c r="C93" s="384">
        <v>577440</v>
      </c>
      <c r="D93" s="384">
        <v>923058</v>
      </c>
      <c r="E93" s="171">
        <v>989253</v>
      </c>
      <c r="F93" s="384">
        <v>693803</v>
      </c>
      <c r="G93" s="384">
        <v>748952</v>
      </c>
      <c r="H93" s="384">
        <v>958252</v>
      </c>
      <c r="I93" s="171">
        <v>1023328</v>
      </c>
      <c r="J93" s="383">
        <v>973045</v>
      </c>
      <c r="K93" s="171">
        <v>649726</v>
      </c>
      <c r="L93" s="384">
        <v>952508</v>
      </c>
      <c r="M93" s="171">
        <v>1103036</v>
      </c>
      <c r="N93" s="171">
        <v>583019</v>
      </c>
      <c r="O93" s="171">
        <v>753330</v>
      </c>
      <c r="P93" s="171">
        <v>1010316</v>
      </c>
      <c r="Q93" s="171">
        <v>1563019</v>
      </c>
      <c r="R93" s="171">
        <v>893922</v>
      </c>
      <c r="S93" s="171">
        <v>671999</v>
      </c>
      <c r="T93" s="171">
        <v>898228</v>
      </c>
      <c r="U93" s="22">
        <v>1081415</v>
      </c>
      <c r="V93" s="22">
        <v>530278</v>
      </c>
      <c r="W93" s="22">
        <v>611345</v>
      </c>
      <c r="X93" s="22">
        <v>879583</v>
      </c>
      <c r="Y93" s="22">
        <v>1196178</v>
      </c>
      <c r="Z93" s="22">
        <v>717283</v>
      </c>
      <c r="AA93" s="22">
        <v>706776</v>
      </c>
      <c r="AB93" s="253"/>
    </row>
    <row r="94" spans="1:28" x14ac:dyDescent="0.25">
      <c r="A94" s="20" t="s">
        <v>273</v>
      </c>
      <c r="B94" s="171">
        <v>177932</v>
      </c>
      <c r="C94" s="171">
        <v>238590</v>
      </c>
      <c r="D94" s="171">
        <v>268126</v>
      </c>
      <c r="E94" s="171">
        <v>189712</v>
      </c>
      <c r="F94" s="171">
        <v>205778</v>
      </c>
      <c r="G94" s="171">
        <v>280809</v>
      </c>
      <c r="H94" s="171">
        <v>274058</v>
      </c>
      <c r="I94" s="171">
        <f>'Hist. dane roczne'!D92</f>
        <v>275147</v>
      </c>
      <c r="J94" s="171">
        <v>255149</v>
      </c>
      <c r="K94" s="171">
        <v>294764</v>
      </c>
      <c r="L94" s="171">
        <v>337005</v>
      </c>
      <c r="M94" s="171">
        <v>268870</v>
      </c>
      <c r="N94" s="171">
        <v>241018</v>
      </c>
      <c r="O94" s="171">
        <v>399562</v>
      </c>
      <c r="P94" s="171">
        <v>361599</v>
      </c>
      <c r="Q94" s="171">
        <v>239639</v>
      </c>
      <c r="R94" s="171">
        <v>230966</v>
      </c>
      <c r="S94" s="171">
        <v>313347</v>
      </c>
      <c r="T94" s="171">
        <v>340619</v>
      </c>
      <c r="U94" s="22">
        <v>245520</v>
      </c>
      <c r="V94" s="22">
        <v>220344</v>
      </c>
      <c r="W94" s="22">
        <v>293190</v>
      </c>
      <c r="X94" s="22">
        <v>324934</v>
      </c>
      <c r="Y94" s="22">
        <v>254337</v>
      </c>
      <c r="Z94" s="22">
        <v>233115</v>
      </c>
      <c r="AA94" s="22">
        <v>304205</v>
      </c>
      <c r="AB94" s="253"/>
    </row>
    <row r="95" spans="1:28" x14ac:dyDescent="0.25">
      <c r="A95" s="20" t="s">
        <v>444</v>
      </c>
      <c r="B95" s="171">
        <v>35048</v>
      </c>
      <c r="C95" s="171">
        <v>68663</v>
      </c>
      <c r="D95" s="171">
        <v>91009</v>
      </c>
      <c r="E95" s="171">
        <v>68672</v>
      </c>
      <c r="F95" s="171">
        <v>26791</v>
      </c>
      <c r="G95" s="171">
        <v>76310</v>
      </c>
      <c r="H95" s="171">
        <v>114786</v>
      </c>
      <c r="I95" s="171">
        <f>'Hist. dane roczne'!D93</f>
        <v>163437</v>
      </c>
      <c r="J95" s="171">
        <v>174357</v>
      </c>
      <c r="K95" s="171">
        <v>45975</v>
      </c>
      <c r="L95" s="171">
        <v>83127</v>
      </c>
      <c r="M95" s="171">
        <v>113034</v>
      </c>
      <c r="N95" s="171">
        <v>72603</v>
      </c>
      <c r="O95" s="171">
        <v>63354</v>
      </c>
      <c r="P95" s="171">
        <v>117238</v>
      </c>
      <c r="Q95" s="171">
        <v>79035</v>
      </c>
      <c r="R95" s="171">
        <v>7010</v>
      </c>
      <c r="S95" s="171">
        <v>1786</v>
      </c>
      <c r="T95" s="171">
        <v>6132</v>
      </c>
      <c r="U95" s="22">
        <v>13518</v>
      </c>
      <c r="V95" s="22">
        <v>68526</v>
      </c>
      <c r="W95" s="22">
        <v>1312</v>
      </c>
      <c r="X95" s="22">
        <v>41021</v>
      </c>
      <c r="Y95" s="22">
        <v>85357</v>
      </c>
      <c r="Z95" s="22">
        <v>373</v>
      </c>
      <c r="AA95" s="22">
        <v>681</v>
      </c>
    </row>
    <row r="96" spans="1:28" x14ac:dyDescent="0.25">
      <c r="A96" s="20" t="s">
        <v>283</v>
      </c>
      <c r="B96" s="171">
        <v>779395</v>
      </c>
      <c r="C96" s="171">
        <v>639528</v>
      </c>
      <c r="D96" s="171">
        <v>642473</v>
      </c>
      <c r="E96" s="171">
        <v>752819</v>
      </c>
      <c r="F96" s="171">
        <v>811554</v>
      </c>
      <c r="G96" s="171">
        <v>686263</v>
      </c>
      <c r="H96" s="171">
        <v>617978</v>
      </c>
      <c r="I96" s="171">
        <f>'Hist. dane roczne'!D94</f>
        <v>645067</v>
      </c>
      <c r="J96" s="171">
        <v>824980</v>
      </c>
      <c r="K96" s="171">
        <v>796374</v>
      </c>
      <c r="L96" s="171">
        <v>756052</v>
      </c>
      <c r="M96" s="171">
        <v>769234</v>
      </c>
      <c r="N96" s="171">
        <v>759022</v>
      </c>
      <c r="O96" s="171">
        <v>625307</v>
      </c>
      <c r="P96" s="171">
        <v>634359</v>
      </c>
      <c r="Q96" s="171">
        <v>814814</v>
      </c>
      <c r="R96" s="171">
        <v>788643</v>
      </c>
      <c r="S96" s="171">
        <v>588576</v>
      </c>
      <c r="T96" s="171">
        <v>620345</v>
      </c>
      <c r="U96" s="22">
        <v>619689</v>
      </c>
      <c r="V96" s="18">
        <v>710168</v>
      </c>
      <c r="W96" s="18">
        <v>606884</v>
      </c>
      <c r="X96" s="18">
        <v>578900</v>
      </c>
      <c r="Y96" s="18">
        <v>618214</v>
      </c>
      <c r="Z96" s="18">
        <v>797477</v>
      </c>
      <c r="AA96" s="18">
        <v>590223</v>
      </c>
      <c r="AB96" s="253"/>
    </row>
    <row r="97" spans="1:28" x14ac:dyDescent="0.25">
      <c r="A97" s="25" t="s">
        <v>445</v>
      </c>
      <c r="B97" s="295">
        <v>0</v>
      </c>
      <c r="C97" s="295">
        <v>0</v>
      </c>
      <c r="D97" s="295">
        <v>0</v>
      </c>
      <c r="E97" s="295">
        <v>0</v>
      </c>
      <c r="F97" s="295">
        <v>0</v>
      </c>
      <c r="G97" s="295">
        <v>0</v>
      </c>
      <c r="H97" s="295">
        <v>0</v>
      </c>
      <c r="I97" s="295">
        <v>0</v>
      </c>
      <c r="J97" s="295">
        <v>0</v>
      </c>
      <c r="K97" s="295">
        <v>0</v>
      </c>
      <c r="L97" s="295">
        <v>0</v>
      </c>
      <c r="M97" s="295">
        <v>0</v>
      </c>
      <c r="N97" s="295">
        <v>0</v>
      </c>
      <c r="O97" s="295">
        <v>0</v>
      </c>
      <c r="P97" s="295">
        <v>0</v>
      </c>
      <c r="Q97" s="295">
        <v>0</v>
      </c>
      <c r="R97" s="295">
        <v>0</v>
      </c>
      <c r="S97" s="295">
        <v>0</v>
      </c>
      <c r="T97" s="295">
        <v>0</v>
      </c>
      <c r="U97" s="296">
        <v>84970</v>
      </c>
      <c r="V97" s="263">
        <v>84282</v>
      </c>
      <c r="W97" s="263">
        <v>84157</v>
      </c>
      <c r="X97" s="263">
        <v>127060</v>
      </c>
      <c r="Y97" s="297">
        <v>0</v>
      </c>
      <c r="Z97" s="297">
        <v>0</v>
      </c>
      <c r="AA97" s="297">
        <v>0</v>
      </c>
    </row>
    <row r="98" spans="1:28" x14ac:dyDescent="0.25">
      <c r="A98" s="14"/>
      <c r="B98" s="18">
        <v>3201965</v>
      </c>
      <c r="C98" s="18">
        <v>3358420</v>
      </c>
      <c r="D98" s="18">
        <v>3652970</v>
      </c>
      <c r="E98" s="18">
        <v>4148150</v>
      </c>
      <c r="F98" s="18">
        <v>3060577</v>
      </c>
      <c r="G98" s="18">
        <v>3651805</v>
      </c>
      <c r="H98" s="18">
        <v>3393303</v>
      </c>
      <c r="I98" s="18">
        <f>'Hist. dane roczne'!D96</f>
        <v>4838786</v>
      </c>
      <c r="J98" s="18">
        <v>4235457</v>
      </c>
      <c r="K98" s="18">
        <v>4339002</v>
      </c>
      <c r="L98" s="18">
        <v>4232567</v>
      </c>
      <c r="M98" s="18">
        <v>5392423</v>
      </c>
      <c r="N98" s="18">
        <v>3765182</v>
      </c>
      <c r="O98" s="18">
        <v>3924245</v>
      </c>
      <c r="P98" s="18">
        <v>4306899</v>
      </c>
      <c r="Q98" s="18">
        <v>5257730</v>
      </c>
      <c r="R98" s="18">
        <v>4018618</v>
      </c>
      <c r="S98" s="18">
        <v>3778952</v>
      </c>
      <c r="T98" s="18">
        <v>3859402</v>
      </c>
      <c r="U98" s="18">
        <v>4818537</v>
      </c>
      <c r="V98" s="18">
        <v>4003452</v>
      </c>
      <c r="W98" s="18">
        <v>4052828</v>
      </c>
      <c r="X98" s="18">
        <v>4147364</v>
      </c>
      <c r="Y98" s="18">
        <f>SUM(Y88:Y97)</f>
        <v>7439326</v>
      </c>
      <c r="Z98" s="18">
        <v>4354195</v>
      </c>
      <c r="AA98" s="18">
        <v>4190389</v>
      </c>
      <c r="AB98" s="253"/>
    </row>
    <row r="99" spans="1:28" x14ac:dyDescent="0.25">
      <c r="A99" s="8"/>
      <c r="B99" s="178"/>
      <c r="C99" s="178"/>
      <c r="D99" s="178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</row>
    <row r="100" spans="1:28" x14ac:dyDescent="0.25">
      <c r="A100" s="37" t="s">
        <v>284</v>
      </c>
      <c r="B100" s="293">
        <v>7221161</v>
      </c>
      <c r="C100" s="293">
        <v>7218807</v>
      </c>
      <c r="D100" s="293">
        <v>7470532</v>
      </c>
      <c r="E100" s="293">
        <v>8324527</v>
      </c>
      <c r="F100" s="293">
        <v>7212993</v>
      </c>
      <c r="G100" s="293">
        <v>7767641</v>
      </c>
      <c r="H100" s="293">
        <v>7539037</v>
      </c>
      <c r="I100" s="293">
        <f>'Hist. dane roczne'!D98</f>
        <v>12377491</v>
      </c>
      <c r="J100" s="293">
        <v>12323034</v>
      </c>
      <c r="K100" s="293">
        <v>12528896</v>
      </c>
      <c r="L100" s="293">
        <v>12837244</v>
      </c>
      <c r="M100" s="293">
        <v>14473657</v>
      </c>
      <c r="N100" s="293">
        <v>13433612</v>
      </c>
      <c r="O100" s="293">
        <v>13396516</v>
      </c>
      <c r="P100" s="293">
        <v>13749941</v>
      </c>
      <c r="Q100" s="293">
        <v>14562071</v>
      </c>
      <c r="R100" s="293">
        <v>13800937</v>
      </c>
      <c r="S100" s="293">
        <v>13754609</v>
      </c>
      <c r="T100" s="293">
        <v>13999998</v>
      </c>
      <c r="U100" s="293">
        <v>16562629</v>
      </c>
      <c r="V100" s="293">
        <v>15659657</v>
      </c>
      <c r="W100" s="293">
        <v>15830280</v>
      </c>
      <c r="X100" s="293">
        <v>16083227</v>
      </c>
      <c r="Y100" s="293">
        <v>16023276</v>
      </c>
      <c r="Z100" s="293">
        <v>15870469</v>
      </c>
      <c r="AA100" s="293">
        <v>15577699</v>
      </c>
      <c r="AB100" s="255"/>
    </row>
    <row r="101" spans="1:28" x14ac:dyDescent="0.25">
      <c r="A101" s="8"/>
      <c r="B101" s="178"/>
      <c r="C101" s="178"/>
      <c r="D101" s="178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</row>
    <row r="102" spans="1:28" x14ac:dyDescent="0.25">
      <c r="A102" s="92" t="s">
        <v>285</v>
      </c>
      <c r="B102" s="286">
        <v>21807983</v>
      </c>
      <c r="C102" s="286">
        <v>22016701.5</v>
      </c>
      <c r="D102" s="286">
        <v>22515176</v>
      </c>
      <c r="E102" s="286">
        <v>23426963</v>
      </c>
      <c r="F102" s="286">
        <v>22789982</v>
      </c>
      <c r="G102" s="286">
        <v>23404475</v>
      </c>
      <c r="H102" s="286">
        <v>23461511</v>
      </c>
      <c r="I102" s="286">
        <f>'Hist. dane roczne'!D100</f>
        <v>28526996</v>
      </c>
      <c r="J102" s="286">
        <v>28852487</v>
      </c>
      <c r="K102" s="286">
        <v>28968106</v>
      </c>
      <c r="L102" s="286">
        <v>29676658</v>
      </c>
      <c r="M102" s="286">
        <v>31273677</v>
      </c>
      <c r="N102" s="286">
        <v>30749673</v>
      </c>
      <c r="O102" s="286">
        <v>30689681</v>
      </c>
      <c r="P102" s="286">
        <v>31425277</v>
      </c>
      <c r="Q102" s="286">
        <v>32355570</v>
      </c>
      <c r="R102" s="286">
        <v>31670077</v>
      </c>
      <c r="S102" s="286">
        <v>31577237</v>
      </c>
      <c r="T102" s="286">
        <v>32137089</v>
      </c>
      <c r="U102" s="286">
        <v>34559193</v>
      </c>
      <c r="V102" s="286">
        <v>34172992</v>
      </c>
      <c r="W102" s="286">
        <v>34322074</v>
      </c>
      <c r="X102" s="286">
        <v>34949928</v>
      </c>
      <c r="Y102" s="286">
        <v>32071433</v>
      </c>
      <c r="Z102" s="286">
        <v>32250551</v>
      </c>
      <c r="AA102" s="286">
        <v>31661822</v>
      </c>
      <c r="AB102" s="255"/>
    </row>
    <row r="103" spans="1:28" x14ac:dyDescent="0.25">
      <c r="B103" s="255"/>
      <c r="C103" s="255"/>
      <c r="D103" s="255"/>
      <c r="E103" s="255"/>
      <c r="F103" s="255"/>
      <c r="G103" s="255"/>
      <c r="H103" s="255"/>
      <c r="I103" s="255"/>
      <c r="J103" s="255"/>
      <c r="K103" s="255"/>
      <c r="L103" s="255"/>
      <c r="M103" s="255"/>
      <c r="N103" s="255"/>
      <c r="O103" s="255"/>
      <c r="P103" s="255"/>
      <c r="T103" s="253"/>
    </row>
    <row r="104" spans="1:28" s="298" customFormat="1" ht="15.75" x14ac:dyDescent="0.25">
      <c r="A104" s="276" t="s">
        <v>286</v>
      </c>
      <c r="T104" s="299"/>
    </row>
    <row r="105" spans="1:28" ht="25.5" x14ac:dyDescent="0.25">
      <c r="A105" s="300" t="s">
        <v>86</v>
      </c>
      <c r="B105" s="111" t="s">
        <v>324</v>
      </c>
      <c r="C105" s="111" t="s">
        <v>325</v>
      </c>
      <c r="D105" s="111" t="s">
        <v>326</v>
      </c>
      <c r="E105" s="111" t="s">
        <v>327</v>
      </c>
      <c r="F105" s="111" t="s">
        <v>328</v>
      </c>
      <c r="G105" s="111" t="s">
        <v>329</v>
      </c>
      <c r="H105" s="111" t="s">
        <v>330</v>
      </c>
      <c r="I105" s="111" t="s">
        <v>331</v>
      </c>
      <c r="J105" s="111" t="s">
        <v>332</v>
      </c>
      <c r="K105" s="111" t="s">
        <v>333</v>
      </c>
      <c r="L105" s="111" t="s">
        <v>446</v>
      </c>
      <c r="M105" s="250" t="s">
        <v>335</v>
      </c>
      <c r="N105" s="111" t="s">
        <v>336</v>
      </c>
      <c r="O105" s="111" t="s">
        <v>337</v>
      </c>
      <c r="P105" s="111" t="s">
        <v>338</v>
      </c>
      <c r="Q105" s="251" t="s">
        <v>339</v>
      </c>
      <c r="R105" s="111" t="s">
        <v>340</v>
      </c>
      <c r="S105" s="111" t="s">
        <v>341</v>
      </c>
      <c r="T105" s="279" t="s">
        <v>342</v>
      </c>
      <c r="U105" s="279" t="s">
        <v>343</v>
      </c>
      <c r="V105" s="279" t="s">
        <v>344</v>
      </c>
      <c r="W105" s="279" t="s">
        <v>345</v>
      </c>
      <c r="X105" s="279" t="s">
        <v>346</v>
      </c>
      <c r="Y105" s="279" t="s">
        <v>347</v>
      </c>
      <c r="Z105" s="279" t="s">
        <v>348</v>
      </c>
      <c r="AA105" s="279" t="s">
        <v>531</v>
      </c>
    </row>
    <row r="106" spans="1:28" s="302" customFormat="1" ht="12.75" x14ac:dyDescent="0.2">
      <c r="A106" s="49" t="s">
        <v>287</v>
      </c>
      <c r="B106" s="287"/>
      <c r="C106" s="287"/>
      <c r="D106" s="287"/>
      <c r="E106" s="287"/>
      <c r="F106" s="287"/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  <c r="Q106" s="301"/>
      <c r="R106" s="301"/>
      <c r="S106" s="301"/>
      <c r="T106" s="301"/>
      <c r="U106" s="301"/>
      <c r="V106" s="301"/>
      <c r="W106" s="301"/>
      <c r="X106" s="301"/>
      <c r="Y106" s="301"/>
      <c r="Z106" s="301"/>
      <c r="AA106" s="301"/>
    </row>
    <row r="107" spans="1:28" x14ac:dyDescent="0.25">
      <c r="A107" s="303" t="s">
        <v>355</v>
      </c>
      <c r="B107" s="22">
        <v>449729</v>
      </c>
      <c r="C107" s="22">
        <v>271729</v>
      </c>
      <c r="D107" s="22">
        <v>324122</v>
      </c>
      <c r="E107" s="22">
        <v>211734</v>
      </c>
      <c r="F107" s="22">
        <v>486740</v>
      </c>
      <c r="G107" s="22">
        <v>428125</v>
      </c>
      <c r="H107" s="22">
        <v>366607</v>
      </c>
      <c r="I107" s="22">
        <v>318479</v>
      </c>
      <c r="J107" s="22">
        <v>498858</v>
      </c>
      <c r="K107" s="22">
        <v>643498</v>
      </c>
      <c r="L107" s="22">
        <v>536886</v>
      </c>
      <c r="M107" s="22">
        <v>268335</v>
      </c>
      <c r="N107" s="22">
        <v>737127</v>
      </c>
      <c r="O107" s="22">
        <v>349027</v>
      </c>
      <c r="P107" s="22">
        <v>459233</v>
      </c>
      <c r="Q107" s="22">
        <v>142507</v>
      </c>
      <c r="R107" s="22">
        <v>557590</v>
      </c>
      <c r="S107" s="22">
        <v>367953</v>
      </c>
      <c r="T107" s="22">
        <v>386953</v>
      </c>
      <c r="U107" s="22">
        <v>185719</v>
      </c>
      <c r="V107" s="22">
        <v>574373</v>
      </c>
      <c r="W107" s="22">
        <v>284430</v>
      </c>
      <c r="X107" s="22">
        <v>454876</v>
      </c>
      <c r="Y107" s="23">
        <v>-3501450</v>
      </c>
      <c r="Z107" s="22">
        <v>411595</v>
      </c>
      <c r="AA107" s="23">
        <v>-378920</v>
      </c>
    </row>
    <row r="108" spans="1:28" x14ac:dyDescent="0.25">
      <c r="A108" s="8" t="s">
        <v>447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</row>
    <row r="109" spans="1:28" x14ac:dyDescent="0.25">
      <c r="A109" s="303" t="s">
        <v>448</v>
      </c>
      <c r="B109" s="304">
        <v>0</v>
      </c>
      <c r="C109" s="304">
        <v>0</v>
      </c>
      <c r="D109" s="304">
        <v>0</v>
      </c>
      <c r="E109" s="22">
        <v>236</v>
      </c>
      <c r="F109" s="22">
        <v>297</v>
      </c>
      <c r="G109" s="22">
        <v>242</v>
      </c>
      <c r="H109" s="22">
        <v>188</v>
      </c>
      <c r="I109" s="22">
        <v>319</v>
      </c>
      <c r="J109" s="22">
        <v>354</v>
      </c>
      <c r="K109" s="22">
        <v>317</v>
      </c>
      <c r="L109" s="22">
        <v>302</v>
      </c>
      <c r="M109" s="22">
        <v>761</v>
      </c>
      <c r="N109" s="22">
        <v>869</v>
      </c>
      <c r="O109" s="22">
        <v>545</v>
      </c>
      <c r="P109" s="22">
        <v>506</v>
      </c>
      <c r="Q109" s="22">
        <v>789</v>
      </c>
      <c r="R109" s="22">
        <v>406</v>
      </c>
      <c r="S109" s="22">
        <v>370</v>
      </c>
      <c r="T109" s="22">
        <v>400</v>
      </c>
      <c r="U109" s="23">
        <v>-240</v>
      </c>
      <c r="V109" s="282">
        <v>-20400</v>
      </c>
      <c r="W109" s="22">
        <v>15530</v>
      </c>
      <c r="X109" s="22">
        <v>4560</v>
      </c>
      <c r="Y109" s="23">
        <v>-7623</v>
      </c>
      <c r="Z109" s="23">
        <v>-23035</v>
      </c>
      <c r="AA109" s="23">
        <v>-36826</v>
      </c>
    </row>
    <row r="110" spans="1:28" x14ac:dyDescent="0.25">
      <c r="A110" s="52" t="s">
        <v>289</v>
      </c>
      <c r="B110" s="22">
        <v>346604</v>
      </c>
      <c r="C110" s="22">
        <v>341924</v>
      </c>
      <c r="D110" s="22">
        <v>340860</v>
      </c>
      <c r="E110" s="22">
        <v>329390</v>
      </c>
      <c r="F110" s="22">
        <v>349588</v>
      </c>
      <c r="G110" s="22">
        <v>348244</v>
      </c>
      <c r="H110" s="22">
        <v>351648</v>
      </c>
      <c r="I110" s="22">
        <v>361617</v>
      </c>
      <c r="J110" s="22">
        <v>416352</v>
      </c>
      <c r="K110" s="22">
        <v>411336</v>
      </c>
      <c r="L110" s="22">
        <v>420817</v>
      </c>
      <c r="M110" s="22">
        <v>437699</v>
      </c>
      <c r="N110" s="22">
        <v>432521</v>
      </c>
      <c r="O110" s="22">
        <v>431124</v>
      </c>
      <c r="P110" s="22">
        <v>423414</v>
      </c>
      <c r="Q110" s="22">
        <v>440010</v>
      </c>
      <c r="R110" s="22">
        <v>455747</v>
      </c>
      <c r="S110" s="22">
        <v>456358</v>
      </c>
      <c r="T110" s="22">
        <v>456211</v>
      </c>
      <c r="U110" s="22">
        <v>428601</v>
      </c>
      <c r="V110" s="22">
        <v>435307</v>
      </c>
      <c r="W110" s="22">
        <v>435296</v>
      </c>
      <c r="X110" s="22">
        <v>444194</v>
      </c>
      <c r="Y110" s="22">
        <v>517983</v>
      </c>
      <c r="Z110" s="22">
        <v>413618</v>
      </c>
      <c r="AA110" s="22">
        <v>407754</v>
      </c>
    </row>
    <row r="111" spans="1:28" x14ac:dyDescent="0.25">
      <c r="A111" s="52" t="s">
        <v>449</v>
      </c>
      <c r="B111" s="23">
        <v>-2430</v>
      </c>
      <c r="C111" s="22">
        <v>5207</v>
      </c>
      <c r="D111" s="282">
        <v>-2576</v>
      </c>
      <c r="E111" s="282">
        <v>-158</v>
      </c>
      <c r="F111" s="282">
        <v>-308</v>
      </c>
      <c r="G111" s="282">
        <v>-118</v>
      </c>
      <c r="H111" s="22">
        <v>3363</v>
      </c>
      <c r="I111" s="23">
        <v>-118</v>
      </c>
      <c r="J111" s="23">
        <v>-1011</v>
      </c>
      <c r="K111" s="23">
        <v>-108</v>
      </c>
      <c r="L111" s="22">
        <v>421</v>
      </c>
      <c r="M111" s="22">
        <v>307</v>
      </c>
      <c r="N111" s="22">
        <v>929</v>
      </c>
      <c r="O111" s="22">
        <v>975</v>
      </c>
      <c r="P111" s="22">
        <v>204</v>
      </c>
      <c r="Q111" s="23">
        <v>-1261</v>
      </c>
      <c r="R111" s="22">
        <v>122</v>
      </c>
      <c r="S111" s="23">
        <v>-97</v>
      </c>
      <c r="T111" s="23">
        <v>-159</v>
      </c>
      <c r="U111" s="22">
        <v>7391</v>
      </c>
      <c r="V111" s="282">
        <v>-28789</v>
      </c>
      <c r="W111" s="22">
        <v>17362</v>
      </c>
      <c r="X111" s="22">
        <v>7523</v>
      </c>
      <c r="Y111" s="22">
        <v>3189</v>
      </c>
      <c r="Z111" s="23">
        <v>-1666</v>
      </c>
      <c r="AA111" s="23">
        <v>30035</v>
      </c>
    </row>
    <row r="112" spans="1:28" x14ac:dyDescent="0.25">
      <c r="A112" s="52" t="s">
        <v>450</v>
      </c>
      <c r="B112" s="22">
        <v>30626</v>
      </c>
      <c r="C112" s="22">
        <v>25783</v>
      </c>
      <c r="D112" s="22">
        <v>25098</v>
      </c>
      <c r="E112" s="22">
        <v>50824</v>
      </c>
      <c r="F112" s="22">
        <v>20372</v>
      </c>
      <c r="G112" s="22">
        <v>4808</v>
      </c>
      <c r="H112" s="22">
        <v>15477</v>
      </c>
      <c r="I112" s="22">
        <v>17637</v>
      </c>
      <c r="J112" s="22">
        <v>56209</v>
      </c>
      <c r="K112" s="22">
        <v>51024</v>
      </c>
      <c r="L112" s="22">
        <v>55729</v>
      </c>
      <c r="M112" s="22">
        <v>62564</v>
      </c>
      <c r="N112" s="22">
        <v>49643</v>
      </c>
      <c r="O112" s="22">
        <v>54874</v>
      </c>
      <c r="P112" s="22">
        <v>48327</v>
      </c>
      <c r="Q112" s="22">
        <v>67439</v>
      </c>
      <c r="R112" s="22">
        <v>66005</v>
      </c>
      <c r="S112" s="22">
        <v>71029</v>
      </c>
      <c r="T112" s="22">
        <v>68074</v>
      </c>
      <c r="U112" s="22">
        <v>81625</v>
      </c>
      <c r="V112" s="22">
        <v>68135</v>
      </c>
      <c r="W112" s="22">
        <v>69142</v>
      </c>
      <c r="X112" s="22">
        <v>66298</v>
      </c>
      <c r="Y112" s="22">
        <v>69927</v>
      </c>
      <c r="Z112" s="22">
        <v>64254</v>
      </c>
      <c r="AA112" s="22">
        <v>62132</v>
      </c>
    </row>
    <row r="113" spans="1:30" x14ac:dyDescent="0.25">
      <c r="A113" s="52" t="s">
        <v>451</v>
      </c>
      <c r="B113" s="22">
        <v>1198</v>
      </c>
      <c r="C113" s="22">
        <v>54</v>
      </c>
      <c r="D113" s="22">
        <v>11884</v>
      </c>
      <c r="E113" s="22">
        <v>17</v>
      </c>
      <c r="F113" s="22">
        <v>1035</v>
      </c>
      <c r="G113" s="22">
        <v>11170</v>
      </c>
      <c r="H113" s="22">
        <v>2305</v>
      </c>
      <c r="I113" s="23">
        <v>-31078</v>
      </c>
      <c r="J113" s="22">
        <v>3889</v>
      </c>
      <c r="K113" s="22">
        <v>13492</v>
      </c>
      <c r="L113" s="23">
        <v>-5860</v>
      </c>
      <c r="M113" s="22">
        <v>23794</v>
      </c>
      <c r="N113" s="22">
        <v>1418</v>
      </c>
      <c r="O113" s="22">
        <v>234344</v>
      </c>
      <c r="P113" s="22">
        <v>23129</v>
      </c>
      <c r="Q113" s="22">
        <v>58823</v>
      </c>
      <c r="R113" s="22">
        <v>17162</v>
      </c>
      <c r="S113" s="22">
        <v>12707</v>
      </c>
      <c r="T113" s="22">
        <v>3327</v>
      </c>
      <c r="U113" s="22">
        <v>11347</v>
      </c>
      <c r="V113" s="23">
        <v>-21113</v>
      </c>
      <c r="W113" s="22">
        <v>59884</v>
      </c>
      <c r="X113" s="23">
        <v>-46538</v>
      </c>
      <c r="Y113" s="22">
        <v>3616589</v>
      </c>
      <c r="Z113" s="373">
        <v>-14626</v>
      </c>
      <c r="AA113" s="282">
        <v>696972</v>
      </c>
    </row>
    <row r="114" spans="1:30" x14ac:dyDescent="0.25">
      <c r="A114" s="52" t="s">
        <v>452</v>
      </c>
      <c r="B114" s="23">
        <v>-284957</v>
      </c>
      <c r="C114" s="22">
        <v>158263</v>
      </c>
      <c r="D114" s="23">
        <v>-17033</v>
      </c>
      <c r="E114" s="23">
        <v>-251666</v>
      </c>
      <c r="F114" s="23">
        <v>-214271</v>
      </c>
      <c r="G114" s="22">
        <v>61292</v>
      </c>
      <c r="H114" s="22">
        <v>183538</v>
      </c>
      <c r="I114" s="23">
        <v>-178504</v>
      </c>
      <c r="J114" s="23">
        <v>-372618</v>
      </c>
      <c r="K114" s="22">
        <v>304259</v>
      </c>
      <c r="L114" s="23">
        <v>-36057</v>
      </c>
      <c r="M114" s="23">
        <v>-187288</v>
      </c>
      <c r="N114" s="22">
        <v>192772</v>
      </c>
      <c r="O114" s="22">
        <v>268864</v>
      </c>
      <c r="P114" s="22">
        <v>443026</v>
      </c>
      <c r="Q114" s="22">
        <v>19755</v>
      </c>
      <c r="R114" s="23">
        <v>-3427</v>
      </c>
      <c r="S114" s="22">
        <v>214770</v>
      </c>
      <c r="T114" s="23">
        <v>-55547</v>
      </c>
      <c r="U114" s="23">
        <v>-44080</v>
      </c>
      <c r="V114" s="22">
        <v>2211</v>
      </c>
      <c r="W114" s="22">
        <v>89265</v>
      </c>
      <c r="X114" s="22">
        <v>67550</v>
      </c>
      <c r="Y114" s="23">
        <v>-40220</v>
      </c>
      <c r="Z114" s="23">
        <v>-85570</v>
      </c>
      <c r="AA114" s="23">
        <v>115486</v>
      </c>
    </row>
    <row r="115" spans="1:30" x14ac:dyDescent="0.25">
      <c r="A115" s="52" t="s">
        <v>453</v>
      </c>
      <c r="B115" s="22">
        <v>90350</v>
      </c>
      <c r="C115" s="22">
        <v>5913</v>
      </c>
      <c r="D115" s="23">
        <v>-240</v>
      </c>
      <c r="E115" s="22">
        <v>21349</v>
      </c>
      <c r="F115" s="22">
        <v>55183</v>
      </c>
      <c r="G115" s="23">
        <v>-38433</v>
      </c>
      <c r="H115" s="23">
        <v>-25956</v>
      </c>
      <c r="I115" s="23">
        <v>-175382</v>
      </c>
      <c r="J115" s="22">
        <v>35235</v>
      </c>
      <c r="K115" s="22">
        <v>5238</v>
      </c>
      <c r="L115" s="22">
        <v>26737</v>
      </c>
      <c r="M115" s="23">
        <v>-203302</v>
      </c>
      <c r="N115" s="22">
        <v>172998</v>
      </c>
      <c r="O115" s="22">
        <v>66095</v>
      </c>
      <c r="P115" s="23">
        <v>-16199</v>
      </c>
      <c r="Q115" s="23">
        <v>-36126</v>
      </c>
      <c r="R115" s="22">
        <v>3107</v>
      </c>
      <c r="S115" s="22">
        <v>28293</v>
      </c>
      <c r="T115" s="23">
        <v>-73741</v>
      </c>
      <c r="U115" s="23">
        <v>-1527</v>
      </c>
      <c r="V115" s="22">
        <v>46033</v>
      </c>
      <c r="W115" s="22">
        <v>75532</v>
      </c>
      <c r="X115" s="22">
        <v>42498</v>
      </c>
      <c r="Y115" s="23">
        <v>-73566</v>
      </c>
      <c r="Z115" s="22">
        <v>14231</v>
      </c>
      <c r="AA115" s="22">
        <v>13441</v>
      </c>
    </row>
    <row r="116" spans="1:30" x14ac:dyDescent="0.25">
      <c r="A116" s="52" t="s">
        <v>454</v>
      </c>
      <c r="B116" s="23">
        <v>-28033</v>
      </c>
      <c r="C116" s="23">
        <v>-144264</v>
      </c>
      <c r="D116" s="22">
        <v>92571</v>
      </c>
      <c r="E116" s="22">
        <v>295284</v>
      </c>
      <c r="F116" s="23">
        <v>-217821</v>
      </c>
      <c r="G116" s="23">
        <v>-124555</v>
      </c>
      <c r="H116" s="23">
        <v>-100399</v>
      </c>
      <c r="I116" s="22">
        <v>366555</v>
      </c>
      <c r="J116" s="23">
        <v>-156809</v>
      </c>
      <c r="K116" s="23">
        <v>-209471</v>
      </c>
      <c r="L116" s="22">
        <v>106904</v>
      </c>
      <c r="M116" s="22">
        <v>329588</v>
      </c>
      <c r="N116" s="23">
        <v>-576726</v>
      </c>
      <c r="O116" s="23">
        <v>-193075</v>
      </c>
      <c r="P116" s="22">
        <v>121651</v>
      </c>
      <c r="Q116" s="22">
        <v>319273</v>
      </c>
      <c r="R116" s="23">
        <v>-466194</v>
      </c>
      <c r="S116" s="23">
        <v>-178771</v>
      </c>
      <c r="T116" s="22">
        <v>103064</v>
      </c>
      <c r="U116" s="22">
        <v>307887</v>
      </c>
      <c r="V116" s="23">
        <v>-183090</v>
      </c>
      <c r="W116" s="23">
        <v>-175058</v>
      </c>
      <c r="X116" s="23">
        <v>-36216</v>
      </c>
      <c r="Y116" s="22">
        <v>213728</v>
      </c>
      <c r="Z116" s="23">
        <v>-119081</v>
      </c>
      <c r="AA116" s="23">
        <v>-191214</v>
      </c>
    </row>
    <row r="117" spans="1:30" x14ac:dyDescent="0.25">
      <c r="A117" s="52" t="s">
        <v>455</v>
      </c>
      <c r="B117" s="22">
        <v>165305</v>
      </c>
      <c r="C117" s="23">
        <v>-49099</v>
      </c>
      <c r="D117" s="23">
        <v>-124867</v>
      </c>
      <c r="E117" s="23">
        <v>-102428</v>
      </c>
      <c r="F117" s="22">
        <v>111446</v>
      </c>
      <c r="G117" s="23">
        <v>-83371</v>
      </c>
      <c r="H117" s="23">
        <v>-66200</v>
      </c>
      <c r="I117" s="23">
        <v>-38479</v>
      </c>
      <c r="J117" s="22">
        <v>144793</v>
      </c>
      <c r="K117" s="23">
        <v>-120870</v>
      </c>
      <c r="L117" s="22">
        <v>122113</v>
      </c>
      <c r="M117" s="23">
        <v>-71124</v>
      </c>
      <c r="N117" s="22">
        <v>420507</v>
      </c>
      <c r="O117" s="23">
        <v>-263358</v>
      </c>
      <c r="P117" s="23">
        <v>-161386</v>
      </c>
      <c r="Q117" s="23">
        <v>-619071</v>
      </c>
      <c r="R117" s="22">
        <v>308637</v>
      </c>
      <c r="S117" s="22">
        <v>165652</v>
      </c>
      <c r="T117" s="23">
        <v>-155006</v>
      </c>
      <c r="U117" s="23">
        <v>-497692</v>
      </c>
      <c r="V117" s="22">
        <v>424448</v>
      </c>
      <c r="W117" s="22">
        <v>17801</v>
      </c>
      <c r="X117" s="23">
        <v>-49569</v>
      </c>
      <c r="Y117" s="23">
        <v>-496856</v>
      </c>
      <c r="Z117" s="22">
        <v>558169</v>
      </c>
      <c r="AA117" s="22">
        <v>201972</v>
      </c>
    </row>
    <row r="118" spans="1:30" x14ac:dyDescent="0.25">
      <c r="A118" s="52" t="s">
        <v>456</v>
      </c>
      <c r="B118" s="23">
        <v>-51505</v>
      </c>
      <c r="C118" s="22">
        <v>48098</v>
      </c>
      <c r="D118" s="22">
        <v>18661</v>
      </c>
      <c r="E118" s="23">
        <v>-46352</v>
      </c>
      <c r="F118" s="22">
        <v>7825</v>
      </c>
      <c r="G118" s="22">
        <v>64675</v>
      </c>
      <c r="H118" s="23">
        <v>-18567</v>
      </c>
      <c r="I118" s="23">
        <v>-93085</v>
      </c>
      <c r="J118" s="23">
        <v>-36835</v>
      </c>
      <c r="K118" s="22">
        <v>30597</v>
      </c>
      <c r="L118" s="22">
        <v>41459</v>
      </c>
      <c r="M118" s="23">
        <v>-100474</v>
      </c>
      <c r="N118" s="23">
        <v>-47210</v>
      </c>
      <c r="O118" s="22">
        <v>138662</v>
      </c>
      <c r="P118" s="23">
        <v>-42460</v>
      </c>
      <c r="Q118" s="23">
        <v>-198100</v>
      </c>
      <c r="R118" s="23">
        <v>-30297</v>
      </c>
      <c r="S118" s="22">
        <v>63032</v>
      </c>
      <c r="T118" s="22">
        <v>9459</v>
      </c>
      <c r="U118" s="23">
        <v>-109527</v>
      </c>
      <c r="V118" s="23">
        <v>-44186</v>
      </c>
      <c r="W118" s="22">
        <v>55396</v>
      </c>
      <c r="X118" s="22">
        <v>13419</v>
      </c>
      <c r="Y118" s="23">
        <v>-98591</v>
      </c>
      <c r="Z118" s="23">
        <v>-40547</v>
      </c>
      <c r="AA118" s="23">
        <v>51975</v>
      </c>
    </row>
    <row r="119" spans="1:30" x14ac:dyDescent="0.25">
      <c r="A119" s="52" t="s">
        <v>457</v>
      </c>
      <c r="B119" s="23">
        <v>-449511</v>
      </c>
      <c r="C119" s="22">
        <v>237573</v>
      </c>
      <c r="D119" s="22">
        <v>220174</v>
      </c>
      <c r="E119" s="23">
        <v>192894</v>
      </c>
      <c r="F119" s="23">
        <v>-471640</v>
      </c>
      <c r="G119" s="22">
        <v>313745</v>
      </c>
      <c r="H119" s="22">
        <v>26159</v>
      </c>
      <c r="I119" s="23">
        <v>-78299</v>
      </c>
      <c r="J119" s="23">
        <v>-245837</v>
      </c>
      <c r="K119" s="22">
        <v>57444</v>
      </c>
      <c r="L119" s="22">
        <v>95041</v>
      </c>
      <c r="M119" s="22">
        <v>353898</v>
      </c>
      <c r="N119" s="23">
        <v>-518316</v>
      </c>
      <c r="O119" s="22">
        <v>147285</v>
      </c>
      <c r="P119" s="22">
        <v>275382</v>
      </c>
      <c r="Q119" s="22">
        <v>650206</v>
      </c>
      <c r="R119" s="23">
        <v>-675084</v>
      </c>
      <c r="S119" s="23">
        <v>-240652</v>
      </c>
      <c r="T119" s="22">
        <v>231257</v>
      </c>
      <c r="U119" s="22">
        <v>389016</v>
      </c>
      <c r="V119" s="23">
        <v>-568470</v>
      </c>
      <c r="W119" s="22">
        <v>63222</v>
      </c>
      <c r="X119" s="22">
        <v>192815</v>
      </c>
      <c r="Y119" s="22">
        <v>454276</v>
      </c>
      <c r="Z119" s="23">
        <v>-492012</v>
      </c>
      <c r="AA119" s="23">
        <v>-20064</v>
      </c>
      <c r="AD119" s="255"/>
    </row>
    <row r="120" spans="1:30" x14ac:dyDescent="0.25">
      <c r="A120" s="52" t="s">
        <v>295</v>
      </c>
      <c r="B120" s="23">
        <v>-48810</v>
      </c>
      <c r="C120" s="23">
        <v>-28878</v>
      </c>
      <c r="D120" s="23">
        <v>-54653</v>
      </c>
      <c r="E120" s="23">
        <v>-106059</v>
      </c>
      <c r="F120" s="23">
        <v>-90710</v>
      </c>
      <c r="G120" s="22">
        <v>39404</v>
      </c>
      <c r="H120" s="23">
        <v>-21030</v>
      </c>
      <c r="I120" s="23">
        <v>-39593</v>
      </c>
      <c r="J120" s="23">
        <v>-88134</v>
      </c>
      <c r="K120" s="23">
        <v>-127916</v>
      </c>
      <c r="L120" s="23">
        <v>-10634</v>
      </c>
      <c r="M120" s="23">
        <v>-102161</v>
      </c>
      <c r="N120" s="23">
        <v>-205615</v>
      </c>
      <c r="O120" s="23">
        <v>-54851</v>
      </c>
      <c r="P120" s="23">
        <v>-51690</v>
      </c>
      <c r="Q120" s="23">
        <v>-154481</v>
      </c>
      <c r="R120" s="23">
        <v>-127327</v>
      </c>
      <c r="S120" s="23">
        <v>-68830</v>
      </c>
      <c r="T120" s="23">
        <v>-31016</v>
      </c>
      <c r="U120" s="23">
        <v>-81220</v>
      </c>
      <c r="V120" s="23">
        <v>-2600</v>
      </c>
      <c r="W120" s="23">
        <v>-68601</v>
      </c>
      <c r="X120" s="22">
        <v>604</v>
      </c>
      <c r="Y120" s="23">
        <v>-41119</v>
      </c>
      <c r="Z120" s="23">
        <v>-218706</v>
      </c>
      <c r="AA120" s="23">
        <v>-681</v>
      </c>
    </row>
    <row r="121" spans="1:30" x14ac:dyDescent="0.25">
      <c r="A121" s="52" t="s">
        <v>134</v>
      </c>
      <c r="B121" s="23">
        <v>-7991</v>
      </c>
      <c r="C121" s="22">
        <v>8009</v>
      </c>
      <c r="D121" s="22">
        <v>16</v>
      </c>
      <c r="E121" s="22">
        <v>376</v>
      </c>
      <c r="F121" s="22">
        <v>4</v>
      </c>
      <c r="G121" s="23">
        <v>-83</v>
      </c>
      <c r="H121" s="23">
        <v>-153</v>
      </c>
      <c r="I121" s="23">
        <v>-1008</v>
      </c>
      <c r="J121" s="22">
        <v>37</v>
      </c>
      <c r="K121" s="22">
        <v>172</v>
      </c>
      <c r="L121" s="22">
        <v>185</v>
      </c>
      <c r="M121" s="23">
        <v>-1084</v>
      </c>
      <c r="N121" s="23">
        <v>-386</v>
      </c>
      <c r="O121" s="23">
        <v>-575</v>
      </c>
      <c r="P121" s="23">
        <v>-1381</v>
      </c>
      <c r="Q121" s="23">
        <v>-4436</v>
      </c>
      <c r="R121" s="23">
        <v>-204</v>
      </c>
      <c r="S121" s="23">
        <v>-384</v>
      </c>
      <c r="T121" s="23">
        <v>-148</v>
      </c>
      <c r="U121" s="23">
        <v>-194</v>
      </c>
      <c r="V121" s="304">
        <v>0</v>
      </c>
      <c r="W121" s="304">
        <v>0</v>
      </c>
      <c r="X121" s="22">
        <v>18</v>
      </c>
      <c r="Y121" s="23">
        <v>-11901</v>
      </c>
      <c r="Z121" s="23">
        <v>-1090</v>
      </c>
      <c r="AA121" s="23">
        <v>-425</v>
      </c>
    </row>
    <row r="122" spans="1:30" s="302" customFormat="1" x14ac:dyDescent="0.25">
      <c r="A122" s="92" t="s">
        <v>296</v>
      </c>
      <c r="B122" s="293">
        <v>210575</v>
      </c>
      <c r="C122" s="293">
        <v>880312</v>
      </c>
      <c r="D122" s="293">
        <v>834017</v>
      </c>
      <c r="E122" s="293">
        <v>595441</v>
      </c>
      <c r="F122" s="293">
        <v>37740</v>
      </c>
      <c r="G122" s="293">
        <v>1025145</v>
      </c>
      <c r="H122" s="293">
        <v>716980</v>
      </c>
      <c r="I122" s="293">
        <v>429061</v>
      </c>
      <c r="J122" s="293">
        <v>254483</v>
      </c>
      <c r="K122" s="293">
        <v>1059012</v>
      </c>
      <c r="L122" s="293">
        <v>1354043</v>
      </c>
      <c r="M122" s="293">
        <v>811513</v>
      </c>
      <c r="N122" s="293">
        <v>660531</v>
      </c>
      <c r="O122" s="293">
        <v>1179936</v>
      </c>
      <c r="P122" s="293">
        <v>1521756</v>
      </c>
      <c r="Q122" s="293">
        <v>685327</v>
      </c>
      <c r="R122" s="293">
        <v>106243</v>
      </c>
      <c r="S122" s="293">
        <v>891430</v>
      </c>
      <c r="T122" s="293">
        <v>943128</v>
      </c>
      <c r="U122" s="293">
        <v>677106</v>
      </c>
      <c r="V122" s="293">
        <v>681859</v>
      </c>
      <c r="W122" s="293">
        <v>939201</v>
      </c>
      <c r="X122" s="293">
        <v>1162032</v>
      </c>
      <c r="Y122" s="293">
        <v>604366</v>
      </c>
      <c r="Z122" s="293">
        <v>465534</v>
      </c>
      <c r="AA122" s="293">
        <v>951637</v>
      </c>
      <c r="AC122" s="12"/>
    </row>
    <row r="123" spans="1:30" x14ac:dyDescent="0.25">
      <c r="A123" s="8" t="s">
        <v>297</v>
      </c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T123" s="305"/>
      <c r="U123" s="255"/>
      <c r="V123" s="255"/>
      <c r="W123" s="255"/>
      <c r="X123" s="255"/>
      <c r="Y123" s="255"/>
      <c r="Z123" s="255"/>
      <c r="AA123" s="255"/>
    </row>
    <row r="124" spans="1:30" x14ac:dyDescent="0.25">
      <c r="A124" s="52" t="s">
        <v>303</v>
      </c>
      <c r="B124" s="22">
        <v>1599</v>
      </c>
      <c r="C124" s="22">
        <v>1548</v>
      </c>
      <c r="D124" s="22">
        <v>5193</v>
      </c>
      <c r="E124" s="22">
        <v>3391</v>
      </c>
      <c r="F124" s="22">
        <v>10399</v>
      </c>
      <c r="G124" s="22">
        <v>9387</v>
      </c>
      <c r="H124" s="22">
        <v>15275</v>
      </c>
      <c r="I124" s="22">
        <v>4896</v>
      </c>
      <c r="J124" s="22">
        <v>2909</v>
      </c>
      <c r="K124" s="22">
        <v>3801</v>
      </c>
      <c r="L124" s="22">
        <v>2424</v>
      </c>
      <c r="M124" s="22">
        <v>41058</v>
      </c>
      <c r="N124" s="22">
        <v>4929</v>
      </c>
      <c r="O124" s="22">
        <v>5030</v>
      </c>
      <c r="P124" s="22">
        <v>7687</v>
      </c>
      <c r="Q124" s="22">
        <v>12139</v>
      </c>
      <c r="R124" s="22">
        <v>23411</v>
      </c>
      <c r="S124" s="22">
        <v>6884</v>
      </c>
      <c r="T124" s="22">
        <v>7843</v>
      </c>
      <c r="U124" s="22">
        <v>9662</v>
      </c>
      <c r="V124" s="22">
        <v>7465</v>
      </c>
      <c r="W124" s="22">
        <v>11914</v>
      </c>
      <c r="X124" s="22">
        <v>3132</v>
      </c>
      <c r="Y124" s="22">
        <v>14043</v>
      </c>
      <c r="Z124" s="22">
        <v>5442</v>
      </c>
      <c r="AA124" s="22">
        <v>9961</v>
      </c>
      <c r="AC124" s="253"/>
    </row>
    <row r="125" spans="1:30" x14ac:dyDescent="0.25">
      <c r="A125" s="52" t="s">
        <v>298</v>
      </c>
      <c r="B125" s="23">
        <v>-318329</v>
      </c>
      <c r="C125" s="23">
        <v>-372182</v>
      </c>
      <c r="D125" s="23">
        <v>-347683</v>
      </c>
      <c r="E125" s="23">
        <v>-479894</v>
      </c>
      <c r="F125" s="23">
        <v>-509788</v>
      </c>
      <c r="G125" s="23">
        <v>-423043</v>
      </c>
      <c r="H125" s="23">
        <v>-585815</v>
      </c>
      <c r="I125" s="23">
        <v>-783624</v>
      </c>
      <c r="J125" s="23">
        <v>-968722</v>
      </c>
      <c r="K125" s="23">
        <v>-644899</v>
      </c>
      <c r="L125" s="23">
        <v>-820865</v>
      </c>
      <c r="M125" s="23">
        <v>-867985</v>
      </c>
      <c r="N125" s="23">
        <v>-1141405</v>
      </c>
      <c r="O125" s="23">
        <v>-704809</v>
      </c>
      <c r="P125" s="23">
        <v>-1022375</v>
      </c>
      <c r="Q125" s="23">
        <v>-1065084</v>
      </c>
      <c r="R125" s="23">
        <v>-919039</v>
      </c>
      <c r="S125" s="23">
        <v>-822975</v>
      </c>
      <c r="T125" s="23">
        <v>-731006</v>
      </c>
      <c r="U125" s="255">
        <v>-991558</v>
      </c>
      <c r="V125" s="23">
        <v>-900356</v>
      </c>
      <c r="W125" s="23">
        <v>-949754</v>
      </c>
      <c r="X125" s="23">
        <v>-975718</v>
      </c>
      <c r="Y125" s="23">
        <v>-1147682</v>
      </c>
      <c r="Z125" s="23">
        <v>-993936</v>
      </c>
      <c r="AA125" s="23">
        <v>-775694</v>
      </c>
      <c r="AC125" s="253"/>
    </row>
    <row r="126" spans="1:30" x14ac:dyDescent="0.25">
      <c r="A126" s="52" t="s">
        <v>458</v>
      </c>
      <c r="B126" s="304">
        <v>0</v>
      </c>
      <c r="C126" s="304">
        <v>0</v>
      </c>
      <c r="D126" s="304">
        <v>0</v>
      </c>
      <c r="E126" s="304">
        <v>0</v>
      </c>
      <c r="F126" s="304">
        <v>0</v>
      </c>
      <c r="G126" s="304">
        <v>0</v>
      </c>
      <c r="H126" s="304">
        <v>0</v>
      </c>
      <c r="I126" s="22">
        <v>1493</v>
      </c>
      <c r="J126" s="22">
        <v>99507</v>
      </c>
      <c r="K126" s="22">
        <v>2999</v>
      </c>
      <c r="L126" s="304">
        <v>0</v>
      </c>
      <c r="M126" s="304">
        <v>0</v>
      </c>
      <c r="N126" s="304">
        <v>0</v>
      </c>
      <c r="O126" s="304">
        <v>0</v>
      </c>
      <c r="P126" s="304">
        <v>0</v>
      </c>
      <c r="Q126" s="304">
        <v>0</v>
      </c>
      <c r="R126" s="304">
        <v>0</v>
      </c>
      <c r="S126" s="304">
        <v>0</v>
      </c>
      <c r="T126" s="304">
        <v>0</v>
      </c>
      <c r="U126" s="304">
        <v>0</v>
      </c>
      <c r="V126" s="291">
        <v>0</v>
      </c>
      <c r="W126" s="22">
        <v>21732</v>
      </c>
      <c r="X126" s="291">
        <v>0</v>
      </c>
      <c r="Y126" s="291">
        <v>0</v>
      </c>
      <c r="Z126" s="291">
        <v>0</v>
      </c>
      <c r="AA126" s="291">
        <v>0</v>
      </c>
      <c r="AC126" s="253"/>
    </row>
    <row r="127" spans="1:30" x14ac:dyDescent="0.25">
      <c r="A127" s="52" t="s">
        <v>459</v>
      </c>
      <c r="B127" s="22">
        <v>4496</v>
      </c>
      <c r="C127" s="22">
        <v>3324</v>
      </c>
      <c r="D127" s="22">
        <v>27105</v>
      </c>
      <c r="E127" s="22">
        <v>21264</v>
      </c>
      <c r="F127" s="22">
        <v>9125</v>
      </c>
      <c r="G127" s="22">
        <v>15940</v>
      </c>
      <c r="H127" s="22">
        <v>672</v>
      </c>
      <c r="I127" s="22">
        <v>87074</v>
      </c>
      <c r="J127" s="22">
        <v>6919</v>
      </c>
      <c r="K127" s="22">
        <v>341</v>
      </c>
      <c r="L127" s="22">
        <v>13533</v>
      </c>
      <c r="M127" s="22">
        <v>1218</v>
      </c>
      <c r="N127" s="22">
        <v>0</v>
      </c>
      <c r="O127" s="22">
        <v>760</v>
      </c>
      <c r="P127" s="22">
        <v>629</v>
      </c>
      <c r="Q127" s="22">
        <v>2848</v>
      </c>
      <c r="R127" s="22">
        <v>84</v>
      </c>
      <c r="S127" s="22">
        <v>1188</v>
      </c>
      <c r="T127" s="22">
        <v>580</v>
      </c>
      <c r="U127" s="22">
        <v>36412</v>
      </c>
      <c r="V127" s="22">
        <v>1109</v>
      </c>
      <c r="W127" s="22">
        <f>22540-21732</f>
        <v>808</v>
      </c>
      <c r="X127" s="22">
        <v>580</v>
      </c>
      <c r="Y127" s="22">
        <v>580</v>
      </c>
      <c r="Z127" s="22">
        <v>580</v>
      </c>
      <c r="AA127" s="22">
        <v>10537</v>
      </c>
      <c r="AC127" s="253"/>
    </row>
    <row r="128" spans="1:30" x14ac:dyDescent="0.25">
      <c r="A128" s="52" t="s">
        <v>460</v>
      </c>
      <c r="B128" s="304">
        <v>0</v>
      </c>
      <c r="C128" s="304">
        <v>0</v>
      </c>
      <c r="D128" s="304">
        <v>0</v>
      </c>
      <c r="E128" s="304">
        <v>0</v>
      </c>
      <c r="F128" s="304">
        <v>0</v>
      </c>
      <c r="G128" s="304">
        <v>0</v>
      </c>
      <c r="H128" s="304">
        <v>0</v>
      </c>
      <c r="I128" s="304">
        <v>0</v>
      </c>
      <c r="J128" s="304">
        <v>0</v>
      </c>
      <c r="K128" s="304">
        <v>0</v>
      </c>
      <c r="L128" s="304">
        <v>0</v>
      </c>
      <c r="M128" s="304">
        <v>0</v>
      </c>
      <c r="N128" s="304">
        <v>0</v>
      </c>
      <c r="O128" s="304">
        <v>0</v>
      </c>
      <c r="P128" s="304">
        <v>0</v>
      </c>
      <c r="Q128" s="23">
        <v>-232500</v>
      </c>
      <c r="R128" s="304">
        <v>0</v>
      </c>
      <c r="S128" s="304">
        <v>0</v>
      </c>
      <c r="T128" s="304">
        <v>0</v>
      </c>
      <c r="U128" s="304">
        <v>0</v>
      </c>
      <c r="V128" s="291">
        <v>0</v>
      </c>
      <c r="W128" s="291">
        <v>0</v>
      </c>
      <c r="X128" s="291">
        <v>0</v>
      </c>
      <c r="Y128" s="291">
        <v>0</v>
      </c>
      <c r="Z128" s="291">
        <v>0</v>
      </c>
      <c r="AA128" s="291">
        <v>0</v>
      </c>
      <c r="AC128" s="253"/>
    </row>
    <row r="129" spans="1:30" x14ac:dyDescent="0.25">
      <c r="A129" s="52" t="s">
        <v>461</v>
      </c>
      <c r="B129" s="23">
        <v>-85581</v>
      </c>
      <c r="C129" s="22">
        <v>35425</v>
      </c>
      <c r="D129" s="23">
        <v>-46519</v>
      </c>
      <c r="E129" s="22">
        <v>27105</v>
      </c>
      <c r="F129" s="23">
        <v>-14529</v>
      </c>
      <c r="G129" s="23">
        <v>-105</v>
      </c>
      <c r="H129" s="22">
        <v>75</v>
      </c>
      <c r="I129" s="23">
        <v>-133430</v>
      </c>
      <c r="J129" s="23">
        <v>-2722</v>
      </c>
      <c r="K129" s="23">
        <v>-5674</v>
      </c>
      <c r="L129" s="23">
        <v>-1689</v>
      </c>
      <c r="M129" s="23">
        <v>-378</v>
      </c>
      <c r="N129" s="23">
        <v>-3406</v>
      </c>
      <c r="O129" s="23">
        <v>-840</v>
      </c>
      <c r="P129" s="23">
        <v>-153</v>
      </c>
      <c r="Q129" s="23">
        <v>-521</v>
      </c>
      <c r="R129" s="23">
        <v>-4109</v>
      </c>
      <c r="S129" s="23">
        <v>-291</v>
      </c>
      <c r="T129" s="23">
        <v>-1879</v>
      </c>
      <c r="U129" s="255">
        <v>-405</v>
      </c>
      <c r="V129" s="23">
        <v>-5332</v>
      </c>
      <c r="W129" s="23">
        <v>-16402</v>
      </c>
      <c r="X129" s="23">
        <v>-7266</v>
      </c>
      <c r="Y129" s="23">
        <v>-67</v>
      </c>
      <c r="Z129" s="23">
        <v>-1690</v>
      </c>
      <c r="AA129" s="23">
        <v>-27844</v>
      </c>
      <c r="AC129" s="253"/>
    </row>
    <row r="130" spans="1:30" x14ac:dyDescent="0.25">
      <c r="A130" s="52" t="s">
        <v>462</v>
      </c>
      <c r="B130" s="23">
        <v>-500</v>
      </c>
      <c r="C130" s="22">
        <v>500</v>
      </c>
      <c r="D130" s="304">
        <v>0</v>
      </c>
      <c r="E130" s="23">
        <v>-1000</v>
      </c>
      <c r="F130" s="23">
        <v>-13000</v>
      </c>
      <c r="G130" s="304">
        <v>0</v>
      </c>
      <c r="H130" s="23">
        <v>-10000</v>
      </c>
      <c r="I130" s="304">
        <v>0</v>
      </c>
      <c r="J130" s="306">
        <v>0</v>
      </c>
      <c r="K130" s="306">
        <v>0</v>
      </c>
      <c r="L130" s="306">
        <v>0</v>
      </c>
      <c r="M130" s="23">
        <v>-32576</v>
      </c>
      <c r="N130" s="306">
        <v>0</v>
      </c>
      <c r="O130" s="304">
        <v>0</v>
      </c>
      <c r="P130" s="304">
        <v>0</v>
      </c>
      <c r="Q130" s="304">
        <v>0</v>
      </c>
      <c r="R130" s="304">
        <v>0</v>
      </c>
      <c r="S130" s="304">
        <v>0</v>
      </c>
      <c r="T130" s="304">
        <v>0</v>
      </c>
      <c r="U130" s="304">
        <v>0</v>
      </c>
      <c r="V130" s="291">
        <v>0</v>
      </c>
      <c r="W130" s="291">
        <v>0</v>
      </c>
      <c r="X130" s="291">
        <v>0</v>
      </c>
      <c r="Y130" s="291">
        <v>0</v>
      </c>
      <c r="Z130" s="291">
        <v>0</v>
      </c>
      <c r="AA130" s="291">
        <v>0</v>
      </c>
      <c r="AC130" s="253"/>
    </row>
    <row r="131" spans="1:30" x14ac:dyDescent="0.25">
      <c r="A131" s="52" t="s">
        <v>463</v>
      </c>
      <c r="B131" s="304">
        <v>0</v>
      </c>
      <c r="C131" s="304">
        <v>0</v>
      </c>
      <c r="D131" s="304">
        <v>0</v>
      </c>
      <c r="E131" s="22">
        <v>23</v>
      </c>
      <c r="F131" s="304">
        <v>0</v>
      </c>
      <c r="G131" s="304">
        <v>0</v>
      </c>
      <c r="H131" s="23">
        <v>-71439</v>
      </c>
      <c r="I131" s="23">
        <v>-3308176</v>
      </c>
      <c r="J131" s="23">
        <v>-5500</v>
      </c>
      <c r="K131" s="23">
        <v>-113</v>
      </c>
      <c r="L131" s="304">
        <v>0</v>
      </c>
      <c r="M131" s="304">
        <v>0</v>
      </c>
      <c r="N131" s="306">
        <v>0</v>
      </c>
      <c r="O131" s="304">
        <v>0</v>
      </c>
      <c r="P131" s="304">
        <v>0</v>
      </c>
      <c r="Q131" s="304">
        <v>0</v>
      </c>
      <c r="R131" s="304">
        <v>0</v>
      </c>
      <c r="S131" s="304">
        <v>0</v>
      </c>
      <c r="T131" s="304">
        <v>0</v>
      </c>
      <c r="U131" s="304">
        <v>0</v>
      </c>
      <c r="V131" s="291">
        <v>0</v>
      </c>
      <c r="W131" s="291">
        <v>0</v>
      </c>
      <c r="X131" s="291">
        <v>0</v>
      </c>
      <c r="Y131" s="291">
        <v>0</v>
      </c>
      <c r="Z131" s="291">
        <v>0</v>
      </c>
      <c r="AA131" s="291">
        <v>0</v>
      </c>
      <c r="AC131" s="253"/>
    </row>
    <row r="132" spans="1:30" x14ac:dyDescent="0.25">
      <c r="A132" s="52" t="s">
        <v>464</v>
      </c>
      <c r="B132" s="304">
        <v>0</v>
      </c>
      <c r="C132" s="22">
        <v>2198</v>
      </c>
      <c r="D132" s="22">
        <v>1574</v>
      </c>
      <c r="E132" s="22">
        <v>577</v>
      </c>
      <c r="F132" s="304">
        <v>0</v>
      </c>
      <c r="G132" s="22">
        <v>6358</v>
      </c>
      <c r="H132" s="22">
        <v>1764</v>
      </c>
      <c r="I132" s="22">
        <v>51</v>
      </c>
      <c r="J132" s="304">
        <v>0</v>
      </c>
      <c r="K132" s="22">
        <v>1485</v>
      </c>
      <c r="L132" s="22">
        <v>6820</v>
      </c>
      <c r="M132" s="22">
        <v>44</v>
      </c>
      <c r="N132" s="22">
        <v>5514</v>
      </c>
      <c r="O132" s="22">
        <v>1882</v>
      </c>
      <c r="P132" s="22">
        <v>10895</v>
      </c>
      <c r="Q132" s="22">
        <v>32</v>
      </c>
      <c r="R132" s="22">
        <v>146</v>
      </c>
      <c r="S132" s="22">
        <v>1950</v>
      </c>
      <c r="T132" s="22">
        <v>1670</v>
      </c>
      <c r="U132" s="22">
        <v>165</v>
      </c>
      <c r="V132" s="291">
        <v>0</v>
      </c>
      <c r="W132" s="22">
        <v>3585</v>
      </c>
      <c r="X132" s="22">
        <v>1099</v>
      </c>
      <c r="Y132" s="291">
        <v>0</v>
      </c>
      <c r="Z132" s="291">
        <v>0</v>
      </c>
      <c r="AA132" s="22">
        <v>6592</v>
      </c>
      <c r="AC132" s="253"/>
    </row>
    <row r="133" spans="1:30" x14ac:dyDescent="0.25">
      <c r="A133" s="52" t="s">
        <v>465</v>
      </c>
      <c r="B133" s="22">
        <v>134</v>
      </c>
      <c r="C133" s="22">
        <v>28</v>
      </c>
      <c r="D133" s="22">
        <v>246</v>
      </c>
      <c r="E133" s="22">
        <v>969</v>
      </c>
      <c r="F133" s="304">
        <v>0</v>
      </c>
      <c r="G133" s="22">
        <v>27</v>
      </c>
      <c r="H133" s="23">
        <v>-27</v>
      </c>
      <c r="I133" s="22">
        <v>666</v>
      </c>
      <c r="J133" s="304">
        <v>0</v>
      </c>
      <c r="K133" s="22">
        <v>1</v>
      </c>
      <c r="L133" s="22">
        <v>135</v>
      </c>
      <c r="M133" s="304">
        <v>0</v>
      </c>
      <c r="N133" s="22">
        <v>457</v>
      </c>
      <c r="O133" s="23">
        <v>-401</v>
      </c>
      <c r="P133" s="23">
        <v>-16</v>
      </c>
      <c r="Q133" s="304">
        <v>0</v>
      </c>
      <c r="R133" s="22">
        <v>11</v>
      </c>
      <c r="S133" s="22">
        <v>458</v>
      </c>
      <c r="T133" s="22">
        <v>72</v>
      </c>
      <c r="U133" s="22">
        <v>527</v>
      </c>
      <c r="V133" s="22">
        <v>5281</v>
      </c>
      <c r="W133" s="22">
        <v>339</v>
      </c>
      <c r="X133" s="22">
        <v>88</v>
      </c>
      <c r="Y133" s="22">
        <v>300</v>
      </c>
      <c r="Z133" s="22">
        <v>81</v>
      </c>
      <c r="AA133" s="22">
        <v>276</v>
      </c>
      <c r="AC133" s="253"/>
      <c r="AD133" s="253"/>
    </row>
    <row r="134" spans="1:30" x14ac:dyDescent="0.25">
      <c r="A134" s="52" t="s">
        <v>304</v>
      </c>
      <c r="B134" s="304">
        <v>0</v>
      </c>
      <c r="C134" s="22">
        <v>30</v>
      </c>
      <c r="D134" s="22">
        <v>15</v>
      </c>
      <c r="E134" s="22">
        <v>1430</v>
      </c>
      <c r="F134" s="304">
        <v>0</v>
      </c>
      <c r="G134" s="22">
        <v>25</v>
      </c>
      <c r="H134" s="22">
        <v>85</v>
      </c>
      <c r="I134" s="22">
        <v>130</v>
      </c>
      <c r="J134" s="304">
        <v>0</v>
      </c>
      <c r="K134" s="304">
        <v>0</v>
      </c>
      <c r="L134" s="22">
        <v>13000</v>
      </c>
      <c r="M134" s="22">
        <v>11500</v>
      </c>
      <c r="N134" s="22">
        <v>5850</v>
      </c>
      <c r="O134" s="22">
        <v>11700</v>
      </c>
      <c r="P134" s="22">
        <v>29250</v>
      </c>
      <c r="Q134" s="304">
        <v>0</v>
      </c>
      <c r="R134" s="304">
        <v>0</v>
      </c>
      <c r="S134" s="22">
        <v>5850</v>
      </c>
      <c r="T134" s="304">
        <v>0</v>
      </c>
      <c r="U134" s="22">
        <v>5850</v>
      </c>
      <c r="V134" s="22">
        <v>12200</v>
      </c>
      <c r="W134" s="22">
        <v>2300</v>
      </c>
      <c r="X134" s="291">
        <v>0</v>
      </c>
      <c r="Y134" s="291">
        <v>0</v>
      </c>
      <c r="Z134" s="291">
        <v>0</v>
      </c>
      <c r="AA134" s="291">
        <v>0</v>
      </c>
      <c r="AC134" s="253"/>
    </row>
    <row r="135" spans="1:30" x14ac:dyDescent="0.25">
      <c r="A135" s="52" t="s">
        <v>301</v>
      </c>
      <c r="B135" s="304">
        <v>0</v>
      </c>
      <c r="C135" s="23">
        <v>-9000</v>
      </c>
      <c r="D135" s="304">
        <v>0</v>
      </c>
      <c r="E135" s="22">
        <v>7600</v>
      </c>
      <c r="F135" s="22">
        <v>15</v>
      </c>
      <c r="G135" s="23">
        <v>-15</v>
      </c>
      <c r="H135" s="22">
        <v>44</v>
      </c>
      <c r="I135" s="23">
        <v>-44</v>
      </c>
      <c r="J135" s="304">
        <v>0</v>
      </c>
      <c r="K135" s="23">
        <v>-75000</v>
      </c>
      <c r="L135" s="304">
        <v>0</v>
      </c>
      <c r="M135" s="23">
        <v>-64500</v>
      </c>
      <c r="N135" s="23">
        <v>-38850</v>
      </c>
      <c r="O135" s="23">
        <v>-40700</v>
      </c>
      <c r="P135" s="23">
        <v>-29250</v>
      </c>
      <c r="Q135" s="304">
        <v>0</v>
      </c>
      <c r="R135" s="23">
        <v>-5850</v>
      </c>
      <c r="S135" s="304">
        <v>0</v>
      </c>
      <c r="T135" s="23">
        <v>-5850</v>
      </c>
      <c r="U135" s="255">
        <v>-6350</v>
      </c>
      <c r="V135" s="23">
        <v>-8150</v>
      </c>
      <c r="W135" s="304">
        <v>0</v>
      </c>
      <c r="X135" s="304">
        <v>0</v>
      </c>
      <c r="Y135" s="23">
        <v>-17950</v>
      </c>
      <c r="Z135" s="23">
        <v>-6000</v>
      </c>
      <c r="AA135" s="23">
        <v>-1600</v>
      </c>
      <c r="AC135" s="253"/>
    </row>
    <row r="136" spans="1:30" x14ac:dyDescent="0.25">
      <c r="A136" s="52" t="s">
        <v>134</v>
      </c>
      <c r="B136" s="22">
        <v>8</v>
      </c>
      <c r="C136" s="22">
        <v>2964</v>
      </c>
      <c r="D136" s="22">
        <v>3801</v>
      </c>
      <c r="E136" s="23">
        <v>-335</v>
      </c>
      <c r="F136" s="23">
        <v>-1</v>
      </c>
      <c r="G136" s="22">
        <v>1</v>
      </c>
      <c r="H136" s="23">
        <v>-120001</v>
      </c>
      <c r="I136" s="22">
        <v>120001</v>
      </c>
      <c r="J136" s="304">
        <v>0</v>
      </c>
      <c r="K136" s="304">
        <v>0</v>
      </c>
      <c r="L136" s="304">
        <v>0</v>
      </c>
      <c r="M136" s="304">
        <v>0</v>
      </c>
      <c r="N136" s="22">
        <v>2</v>
      </c>
      <c r="O136" s="22">
        <v>2</v>
      </c>
      <c r="P136" s="23">
        <v>-2</v>
      </c>
      <c r="Q136" s="22">
        <v>218</v>
      </c>
      <c r="R136" s="304">
        <v>0</v>
      </c>
      <c r="S136" s="304">
        <v>0</v>
      </c>
      <c r="T136" s="304">
        <v>0</v>
      </c>
      <c r="U136" s="255">
        <v>-184</v>
      </c>
      <c r="V136" s="304">
        <v>0</v>
      </c>
      <c r="W136" s="304">
        <v>0</v>
      </c>
      <c r="X136" s="304">
        <v>0</v>
      </c>
      <c r="Y136" s="304">
        <v>0</v>
      </c>
      <c r="Z136" s="304">
        <v>0</v>
      </c>
      <c r="AA136" s="23">
        <v>-131077</v>
      </c>
      <c r="AC136" s="253"/>
    </row>
    <row r="137" spans="1:30" s="302" customFormat="1" x14ac:dyDescent="0.25">
      <c r="A137" s="92" t="s">
        <v>307</v>
      </c>
      <c r="B137" s="287">
        <v>-398173</v>
      </c>
      <c r="C137" s="287">
        <v>-335165</v>
      </c>
      <c r="D137" s="287">
        <v>-356268</v>
      </c>
      <c r="E137" s="287">
        <v>-418870</v>
      </c>
      <c r="F137" s="287">
        <v>-517779</v>
      </c>
      <c r="G137" s="287">
        <v>-391425</v>
      </c>
      <c r="H137" s="287">
        <v>-769367</v>
      </c>
      <c r="I137" s="287">
        <v>-4010963</v>
      </c>
      <c r="J137" s="287">
        <v>-867609</v>
      </c>
      <c r="K137" s="287">
        <v>-717059</v>
      </c>
      <c r="L137" s="287">
        <v>-786642</v>
      </c>
      <c r="M137" s="287">
        <v>-911619</v>
      </c>
      <c r="N137" s="287">
        <v>-1166909</v>
      </c>
      <c r="O137" s="287">
        <v>-727376</v>
      </c>
      <c r="P137" s="287">
        <v>-1003335</v>
      </c>
      <c r="Q137" s="287">
        <v>-1282868</v>
      </c>
      <c r="R137" s="287">
        <v>-905346</v>
      </c>
      <c r="S137" s="287">
        <v>-806936</v>
      </c>
      <c r="T137" s="287">
        <v>-728570</v>
      </c>
      <c r="U137" s="287">
        <v>-945881</v>
      </c>
      <c r="V137" s="287">
        <v>-887783</v>
      </c>
      <c r="W137" s="287">
        <v>-925478</v>
      </c>
      <c r="X137" s="287">
        <v>-978085</v>
      </c>
      <c r="Y137" s="287">
        <v>-1150776</v>
      </c>
      <c r="Z137" s="287">
        <v>-995523</v>
      </c>
      <c r="AA137" s="287">
        <v>-908849</v>
      </c>
      <c r="AC137" s="253"/>
    </row>
    <row r="138" spans="1:30" x14ac:dyDescent="0.25">
      <c r="A138" s="8" t="s">
        <v>308</v>
      </c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T138" s="305"/>
      <c r="U138" s="255"/>
      <c r="V138" s="255"/>
      <c r="W138" s="255"/>
      <c r="X138" s="255"/>
      <c r="Y138" s="255"/>
      <c r="Z138" s="255"/>
      <c r="AA138" s="255"/>
    </row>
    <row r="139" spans="1:30" x14ac:dyDescent="0.25">
      <c r="A139" s="52" t="s">
        <v>466</v>
      </c>
      <c r="B139" s="23">
        <v>-10386</v>
      </c>
      <c r="C139" s="23">
        <v>-8182</v>
      </c>
      <c r="D139" s="23">
        <v>-7547</v>
      </c>
      <c r="E139" s="23">
        <v>-9727</v>
      </c>
      <c r="F139" s="23">
        <v>-9894</v>
      </c>
      <c r="G139" s="23">
        <v>-5026</v>
      </c>
      <c r="H139" s="23">
        <v>-3795</v>
      </c>
      <c r="I139" s="23">
        <v>-6888</v>
      </c>
      <c r="J139" s="23">
        <v>-4952</v>
      </c>
      <c r="K139" s="23">
        <v>-2901</v>
      </c>
      <c r="L139" s="23">
        <v>-2696</v>
      </c>
      <c r="M139" s="23">
        <v>-4285</v>
      </c>
      <c r="N139" s="23">
        <v>-4752</v>
      </c>
      <c r="O139" s="23">
        <v>-2743</v>
      </c>
      <c r="P139" s="23">
        <v>-3310</v>
      </c>
      <c r="Q139" s="23">
        <v>-4106</v>
      </c>
      <c r="R139" s="23">
        <v>-5541</v>
      </c>
      <c r="S139" s="23">
        <v>-4358</v>
      </c>
      <c r="T139" s="23">
        <v>-3778</v>
      </c>
      <c r="U139" s="23">
        <v>-6945</v>
      </c>
      <c r="V139" s="23">
        <v>-4946</v>
      </c>
      <c r="W139" s="23">
        <v>-2770</v>
      </c>
      <c r="X139" s="23">
        <v>-2580</v>
      </c>
      <c r="Y139" s="23">
        <v>-4130</v>
      </c>
      <c r="Z139" s="23">
        <v>-4898</v>
      </c>
      <c r="AA139" s="23">
        <v>-3110</v>
      </c>
    </row>
    <row r="140" spans="1:30" x14ac:dyDescent="0.25">
      <c r="A140" s="52" t="s">
        <v>467</v>
      </c>
      <c r="B140" s="22">
        <v>40082</v>
      </c>
      <c r="C140" s="22">
        <v>19449</v>
      </c>
      <c r="D140" s="22">
        <v>938</v>
      </c>
      <c r="E140" s="22">
        <v>106646</v>
      </c>
      <c r="F140" s="22">
        <v>60594</v>
      </c>
      <c r="G140" s="22">
        <v>15000</v>
      </c>
      <c r="H140" s="22">
        <v>11661</v>
      </c>
      <c r="I140" s="23">
        <v>-1</v>
      </c>
      <c r="J140" s="22">
        <v>542000</v>
      </c>
      <c r="K140" s="22">
        <v>7000</v>
      </c>
      <c r="L140" s="22">
        <v>450000</v>
      </c>
      <c r="M140" s="22">
        <v>6000</v>
      </c>
      <c r="N140" s="22">
        <v>451180</v>
      </c>
      <c r="O140" s="304">
        <v>0</v>
      </c>
      <c r="P140" s="22">
        <v>513</v>
      </c>
      <c r="Q140" s="22">
        <v>632</v>
      </c>
      <c r="R140" s="304">
        <v>0</v>
      </c>
      <c r="S140" s="304">
        <v>0</v>
      </c>
      <c r="T140" s="304">
        <v>0</v>
      </c>
      <c r="U140" s="304">
        <v>0</v>
      </c>
      <c r="V140" s="304">
        <v>0</v>
      </c>
      <c r="W140" s="304">
        <v>0</v>
      </c>
      <c r="X140" s="22">
        <v>295000</v>
      </c>
      <c r="Y140" s="304">
        <v>0</v>
      </c>
      <c r="Z140" s="304">
        <v>0</v>
      </c>
      <c r="AA140" s="22">
        <v>916</v>
      </c>
    </row>
    <row r="141" spans="1:30" x14ac:dyDescent="0.25">
      <c r="A141" s="52" t="s">
        <v>311</v>
      </c>
      <c r="B141" s="23">
        <v>-84553</v>
      </c>
      <c r="C141" s="23">
        <v>-148527</v>
      </c>
      <c r="D141" s="23">
        <v>-101680</v>
      </c>
      <c r="E141" s="23">
        <v>-409260</v>
      </c>
      <c r="F141" s="23">
        <v>-152215</v>
      </c>
      <c r="G141" s="23">
        <v>-83769</v>
      </c>
      <c r="H141" s="23">
        <v>-162825</v>
      </c>
      <c r="I141" s="23">
        <v>-68374</v>
      </c>
      <c r="J141" s="23">
        <v>-31103</v>
      </c>
      <c r="K141" s="23">
        <v>-65412</v>
      </c>
      <c r="L141" s="23">
        <v>-31232</v>
      </c>
      <c r="M141" s="23">
        <v>-129463</v>
      </c>
      <c r="N141" s="23">
        <v>-7900</v>
      </c>
      <c r="O141" s="23">
        <v>-11748</v>
      </c>
      <c r="P141" s="23">
        <v>-30139</v>
      </c>
      <c r="Q141" s="23">
        <v>-91439</v>
      </c>
      <c r="R141" s="23">
        <v>-30340</v>
      </c>
      <c r="S141" s="23">
        <v>-30368</v>
      </c>
      <c r="T141" s="23">
        <v>-30370</v>
      </c>
      <c r="U141" s="23">
        <v>-78893</v>
      </c>
      <c r="V141" s="23">
        <v>-22353</v>
      </c>
      <c r="W141" s="23">
        <v>-22386</v>
      </c>
      <c r="X141" s="23">
        <v>-22387</v>
      </c>
      <c r="Y141" s="23">
        <v>-73459</v>
      </c>
      <c r="Z141" s="23">
        <v>-22323</v>
      </c>
      <c r="AA141" s="23">
        <v>-22401</v>
      </c>
    </row>
    <row r="142" spans="1:30" x14ac:dyDescent="0.25">
      <c r="A142" s="52" t="s">
        <v>315</v>
      </c>
      <c r="B142" s="304">
        <v>0</v>
      </c>
      <c r="C142" s="304">
        <v>0</v>
      </c>
      <c r="D142" s="304">
        <v>0</v>
      </c>
      <c r="E142" s="23">
        <v>848200</v>
      </c>
      <c r="F142" s="304">
        <v>0</v>
      </c>
      <c r="G142" s="304">
        <v>0</v>
      </c>
      <c r="H142" s="304">
        <v>0</v>
      </c>
      <c r="I142" s="22">
        <v>3300000</v>
      </c>
      <c r="J142" s="22">
        <v>150000</v>
      </c>
      <c r="K142" s="304">
        <v>0</v>
      </c>
      <c r="L142" s="304">
        <v>0</v>
      </c>
      <c r="M142" s="304">
        <v>0</v>
      </c>
      <c r="N142" s="304">
        <v>0</v>
      </c>
      <c r="O142" s="304">
        <v>0</v>
      </c>
      <c r="P142" s="304">
        <v>0</v>
      </c>
      <c r="Q142" s="304">
        <v>0</v>
      </c>
      <c r="R142" s="22">
        <v>800000</v>
      </c>
      <c r="S142" s="22">
        <v>200000</v>
      </c>
      <c r="T142" s="22">
        <v>200000</v>
      </c>
      <c r="U142" s="22">
        <v>2453234</v>
      </c>
      <c r="V142" s="304">
        <v>0</v>
      </c>
      <c r="W142" s="304">
        <v>0</v>
      </c>
      <c r="X142" s="304">
        <v>0</v>
      </c>
      <c r="Y142" s="22">
        <v>310000</v>
      </c>
      <c r="Z142" s="22">
        <v>2860000</v>
      </c>
      <c r="AA142" s="291">
        <v>0</v>
      </c>
    </row>
    <row r="143" spans="1:30" x14ac:dyDescent="0.25">
      <c r="A143" s="307" t="s">
        <v>309</v>
      </c>
      <c r="B143" s="306">
        <v>0</v>
      </c>
      <c r="C143" s="23">
        <v>-41308</v>
      </c>
      <c r="D143" s="304">
        <v>0</v>
      </c>
      <c r="E143" s="23">
        <v>-567384</v>
      </c>
      <c r="F143" s="304">
        <v>0</v>
      </c>
      <c r="G143" s="304">
        <v>0</v>
      </c>
      <c r="H143" s="304">
        <v>0</v>
      </c>
      <c r="I143" s="304">
        <v>0</v>
      </c>
      <c r="J143" s="304">
        <v>0</v>
      </c>
      <c r="K143" s="304">
        <v>0</v>
      </c>
      <c r="L143" s="304">
        <v>0</v>
      </c>
      <c r="M143" s="304">
        <v>0</v>
      </c>
      <c r="N143" s="304">
        <v>0</v>
      </c>
      <c r="O143" s="304">
        <v>0</v>
      </c>
      <c r="P143" s="304">
        <v>0</v>
      </c>
      <c r="Q143" s="304">
        <v>0</v>
      </c>
      <c r="R143" s="23">
        <v>-200000</v>
      </c>
      <c r="S143" s="23">
        <v>-100000</v>
      </c>
      <c r="T143" s="304">
        <v>0</v>
      </c>
      <c r="U143" s="23">
        <v>-848200</v>
      </c>
      <c r="V143" s="23">
        <v>-150000</v>
      </c>
      <c r="W143" s="304">
        <v>0</v>
      </c>
      <c r="X143" s="304">
        <v>0</v>
      </c>
      <c r="Y143" s="23">
        <v>-300000</v>
      </c>
      <c r="Z143" s="23">
        <v>-2250000</v>
      </c>
      <c r="AA143" s="291">
        <v>0</v>
      </c>
    </row>
    <row r="144" spans="1:30" x14ac:dyDescent="0.25">
      <c r="A144" s="52" t="s">
        <v>468</v>
      </c>
      <c r="B144" s="304">
        <v>0</v>
      </c>
      <c r="C144" s="304">
        <v>0</v>
      </c>
      <c r="D144" s="304">
        <v>0</v>
      </c>
      <c r="E144" s="304">
        <v>0</v>
      </c>
      <c r="F144" s="304">
        <v>0</v>
      </c>
      <c r="G144" s="304">
        <v>0</v>
      </c>
      <c r="H144" s="23">
        <v>-262882</v>
      </c>
      <c r="I144" s="304">
        <v>0</v>
      </c>
      <c r="J144" s="304">
        <v>0</v>
      </c>
      <c r="K144" s="304">
        <v>0</v>
      </c>
      <c r="L144" s="23">
        <v>-543290</v>
      </c>
      <c r="M144" s="304">
        <v>0</v>
      </c>
      <c r="N144" s="304">
        <v>0</v>
      </c>
      <c r="O144" s="23">
        <v>-340680</v>
      </c>
      <c r="P144" s="23">
        <v>-9830</v>
      </c>
      <c r="Q144" s="304">
        <v>0</v>
      </c>
      <c r="R144" s="304">
        <v>0</v>
      </c>
      <c r="S144" s="304">
        <v>0</v>
      </c>
      <c r="T144" s="23">
        <v>-324182</v>
      </c>
      <c r="U144" s="23">
        <v>-8802</v>
      </c>
      <c r="V144" s="304">
        <v>0</v>
      </c>
      <c r="W144" s="304">
        <v>0</v>
      </c>
      <c r="X144" s="23">
        <v>-262882</v>
      </c>
      <c r="Y144" s="304">
        <v>0</v>
      </c>
      <c r="Z144" s="304">
        <v>0</v>
      </c>
      <c r="AA144" s="291">
        <v>0</v>
      </c>
    </row>
    <row r="145" spans="1:29" x14ac:dyDescent="0.25">
      <c r="A145" s="52" t="s">
        <v>469</v>
      </c>
      <c r="B145" s="23">
        <v>-10</v>
      </c>
      <c r="C145" s="23">
        <v>-2277</v>
      </c>
      <c r="D145" s="23">
        <v>-3282</v>
      </c>
      <c r="E145" s="23">
        <v>-4</v>
      </c>
      <c r="F145" s="23">
        <v>-2</v>
      </c>
      <c r="G145" s="23">
        <v>-10883</v>
      </c>
      <c r="H145" s="23">
        <v>-1912</v>
      </c>
      <c r="I145" s="23">
        <v>-879</v>
      </c>
      <c r="J145" s="23">
        <v>-6</v>
      </c>
      <c r="K145" s="23">
        <v>-16013</v>
      </c>
      <c r="L145" s="23">
        <v>-416</v>
      </c>
      <c r="M145" s="22">
        <v>1</v>
      </c>
      <c r="N145" s="23">
        <v>-81</v>
      </c>
      <c r="O145" s="23">
        <v>-7155</v>
      </c>
      <c r="P145" s="23">
        <v>-835</v>
      </c>
      <c r="Q145" s="22">
        <v>24</v>
      </c>
      <c r="R145" s="23">
        <v>-32</v>
      </c>
      <c r="S145" s="23">
        <v>-958</v>
      </c>
      <c r="T145" s="23">
        <v>-262</v>
      </c>
      <c r="U145" s="22">
        <v>19</v>
      </c>
      <c r="V145" s="23">
        <v>-8</v>
      </c>
      <c r="W145" s="23">
        <v>-1813</v>
      </c>
      <c r="X145" s="23">
        <v>-848</v>
      </c>
      <c r="Y145" s="22">
        <v>39</v>
      </c>
      <c r="Z145" s="304">
        <v>0</v>
      </c>
      <c r="AA145" s="23">
        <v>-2477</v>
      </c>
    </row>
    <row r="146" spans="1:29" x14ac:dyDescent="0.25">
      <c r="A146" s="52" t="s">
        <v>312</v>
      </c>
      <c r="B146" s="23">
        <v>-17396</v>
      </c>
      <c r="C146" s="23">
        <v>-37714</v>
      </c>
      <c r="D146" s="23">
        <v>-14084</v>
      </c>
      <c r="E146" s="23">
        <v>-46626</v>
      </c>
      <c r="F146" s="23">
        <v>-8468</v>
      </c>
      <c r="G146" s="23">
        <v>-19731</v>
      </c>
      <c r="H146" s="23">
        <v>-12060</v>
      </c>
      <c r="I146" s="23">
        <v>-12033</v>
      </c>
      <c r="J146" s="23">
        <v>-4839</v>
      </c>
      <c r="K146" s="23">
        <v>-102209</v>
      </c>
      <c r="L146" s="22">
        <v>11222</v>
      </c>
      <c r="M146" s="23">
        <v>-126263</v>
      </c>
      <c r="N146" s="23">
        <v>-8799</v>
      </c>
      <c r="O146" s="23">
        <v>-76963</v>
      </c>
      <c r="P146" s="23">
        <v>-17851</v>
      </c>
      <c r="Q146" s="23">
        <v>-125818</v>
      </c>
      <c r="R146" s="23">
        <v>-13933</v>
      </c>
      <c r="S146" s="23">
        <v>-123027</v>
      </c>
      <c r="T146" s="22">
        <v>491</v>
      </c>
      <c r="U146" s="23">
        <v>-136923</v>
      </c>
      <c r="V146" s="23">
        <v>-11710</v>
      </c>
      <c r="W146" s="23">
        <v>-123676</v>
      </c>
      <c r="X146" s="22">
        <v>9285</v>
      </c>
      <c r="Y146" s="23">
        <v>-150204</v>
      </c>
      <c r="Z146" s="23">
        <v>-25165</v>
      </c>
      <c r="AA146" s="23">
        <v>-92174</v>
      </c>
    </row>
    <row r="147" spans="1:29" x14ac:dyDescent="0.25">
      <c r="A147" s="52" t="s">
        <v>470</v>
      </c>
      <c r="B147" s="304">
        <v>0</v>
      </c>
      <c r="C147" s="304">
        <v>0</v>
      </c>
      <c r="D147" s="304">
        <v>0</v>
      </c>
      <c r="E147" s="23">
        <v>-9863</v>
      </c>
      <c r="F147" s="23">
        <v>-24185</v>
      </c>
      <c r="G147" s="23">
        <v>-3007</v>
      </c>
      <c r="H147" s="23">
        <v>-7390</v>
      </c>
      <c r="I147" s="23">
        <v>-3218</v>
      </c>
      <c r="J147" s="23">
        <v>-36</v>
      </c>
      <c r="K147" s="23">
        <v>-4148</v>
      </c>
      <c r="L147" s="23">
        <v>-1726</v>
      </c>
      <c r="M147" s="23">
        <v>-625</v>
      </c>
      <c r="N147" s="23">
        <v>-732</v>
      </c>
      <c r="O147" s="23">
        <v>-620</v>
      </c>
      <c r="P147" s="23">
        <v>-436</v>
      </c>
      <c r="Q147" s="23">
        <v>-35233</v>
      </c>
      <c r="R147" s="23">
        <v>-104504</v>
      </c>
      <c r="S147" s="23">
        <v>-20723</v>
      </c>
      <c r="T147" s="23">
        <v>-101</v>
      </c>
      <c r="U147" s="23">
        <v>-74</v>
      </c>
      <c r="V147" s="23">
        <v>-26</v>
      </c>
      <c r="W147" s="23">
        <v>-114</v>
      </c>
      <c r="X147" s="23">
        <v>-448</v>
      </c>
      <c r="Y147" s="304">
        <v>0</v>
      </c>
      <c r="Z147" s="304">
        <v>0</v>
      </c>
      <c r="AA147" s="308">
        <v>-46</v>
      </c>
    </row>
    <row r="148" spans="1:29" x14ac:dyDescent="0.25">
      <c r="A148" s="52" t="s">
        <v>134</v>
      </c>
      <c r="B148" s="23">
        <v>-465</v>
      </c>
      <c r="C148" s="23">
        <v>-2964</v>
      </c>
      <c r="D148" s="23">
        <v>-965</v>
      </c>
      <c r="E148" s="23">
        <v>-3975</v>
      </c>
      <c r="F148" s="23">
        <v>-7624</v>
      </c>
      <c r="G148" s="23">
        <v>-31</v>
      </c>
      <c r="H148" s="22">
        <v>5</v>
      </c>
      <c r="I148" s="23">
        <v>-5404</v>
      </c>
      <c r="J148" s="23">
        <v>-1706</v>
      </c>
      <c r="K148" s="23">
        <v>-28</v>
      </c>
      <c r="L148" s="23">
        <v>-9028</v>
      </c>
      <c r="M148" s="22">
        <v>105870</v>
      </c>
      <c r="N148" s="22">
        <f>-3463+4478</f>
        <v>1015</v>
      </c>
      <c r="O148" s="22">
        <v>19950</v>
      </c>
      <c r="P148" s="22">
        <v>14420</v>
      </c>
      <c r="Q148" s="22">
        <v>75868</v>
      </c>
      <c r="R148" s="22">
        <v>20613</v>
      </c>
      <c r="S148" s="22">
        <v>18042</v>
      </c>
      <c r="T148" s="22">
        <v>1115</v>
      </c>
      <c r="U148" s="22">
        <v>14549</v>
      </c>
      <c r="V148" s="23">
        <f>2888-5361</f>
        <v>-2473</v>
      </c>
      <c r="W148" s="22">
        <v>4705</v>
      </c>
      <c r="X148" s="22">
        <v>2977</v>
      </c>
      <c r="Y148" s="22">
        <v>11515</v>
      </c>
      <c r="Z148" s="308">
        <v>-132825</v>
      </c>
      <c r="AA148" s="308">
        <v>147962</v>
      </c>
    </row>
    <row r="149" spans="1:29" s="302" customFormat="1" x14ac:dyDescent="0.25">
      <c r="A149" s="92" t="s">
        <v>317</v>
      </c>
      <c r="B149" s="287">
        <v>-72728</v>
      </c>
      <c r="C149" s="287">
        <v>-221523</v>
      </c>
      <c r="D149" s="287">
        <v>-126620</v>
      </c>
      <c r="E149" s="287">
        <v>-91993</v>
      </c>
      <c r="F149" s="287">
        <v>-141794</v>
      </c>
      <c r="G149" s="287">
        <v>-107447</v>
      </c>
      <c r="H149" s="287">
        <v>-439198</v>
      </c>
      <c r="I149" s="293">
        <v>3203203</v>
      </c>
      <c r="J149" s="293">
        <v>649358</v>
      </c>
      <c r="K149" s="287">
        <v>-183711</v>
      </c>
      <c r="L149" s="287">
        <v>-127166</v>
      </c>
      <c r="M149" s="287">
        <v>-148765</v>
      </c>
      <c r="N149" s="293">
        <v>429931</v>
      </c>
      <c r="O149" s="287">
        <v>-419959</v>
      </c>
      <c r="P149" s="287">
        <v>-47468</v>
      </c>
      <c r="Q149" s="287">
        <v>-180072</v>
      </c>
      <c r="R149" s="293">
        <v>466263</v>
      </c>
      <c r="S149" s="287">
        <v>-61392</v>
      </c>
      <c r="T149" s="287">
        <v>-157087</v>
      </c>
      <c r="U149" s="293">
        <v>1387965</v>
      </c>
      <c r="V149" s="287">
        <v>-191516</v>
      </c>
      <c r="W149" s="287">
        <v>-146054</v>
      </c>
      <c r="X149" s="293">
        <v>18117</v>
      </c>
      <c r="Y149" s="293">
        <v>-206239</v>
      </c>
      <c r="Z149" s="293">
        <v>424789</v>
      </c>
      <c r="AA149" s="293">
        <v>28670</v>
      </c>
      <c r="AC149" s="12"/>
    </row>
    <row r="150" spans="1:29" x14ac:dyDescent="0.25">
      <c r="A150" s="8" t="s">
        <v>318</v>
      </c>
      <c r="B150" s="23">
        <v>-260326</v>
      </c>
      <c r="C150" s="22">
        <v>323624</v>
      </c>
      <c r="D150" s="22">
        <v>351129</v>
      </c>
      <c r="E150" s="22">
        <v>84578</v>
      </c>
      <c r="F150" s="23">
        <v>-621833</v>
      </c>
      <c r="G150" s="22">
        <v>526273</v>
      </c>
      <c r="H150" s="23">
        <v>-491585</v>
      </c>
      <c r="I150" s="23">
        <v>-378699</v>
      </c>
      <c r="J150" s="22">
        <v>36232</v>
      </c>
      <c r="K150" s="22">
        <v>158242</v>
      </c>
      <c r="L150" s="22">
        <v>440235</v>
      </c>
      <c r="M150" s="23">
        <v>-248871</v>
      </c>
      <c r="N150" s="23">
        <v>-76447</v>
      </c>
      <c r="O150" s="22">
        <v>32601</v>
      </c>
      <c r="P150" s="22">
        <v>470953</v>
      </c>
      <c r="Q150" s="23">
        <v>-777613</v>
      </c>
      <c r="R150" s="23">
        <v>-332840</v>
      </c>
      <c r="S150" s="22">
        <v>23102</v>
      </c>
      <c r="T150" s="22">
        <v>57471</v>
      </c>
      <c r="U150" s="22">
        <v>1119190</v>
      </c>
      <c r="V150" s="23">
        <v>-397440</v>
      </c>
      <c r="W150" s="23">
        <v>-132331</v>
      </c>
      <c r="X150" s="22">
        <v>202064</v>
      </c>
      <c r="Y150" s="23">
        <v>-752649</v>
      </c>
      <c r="Z150" s="23">
        <v>-105200</v>
      </c>
      <c r="AA150" s="23">
        <v>71458</v>
      </c>
    </row>
    <row r="151" spans="1:29" x14ac:dyDescent="0.25">
      <c r="A151" s="52" t="s">
        <v>319</v>
      </c>
      <c r="B151" s="23">
        <v>-121</v>
      </c>
      <c r="C151" s="22">
        <v>178</v>
      </c>
      <c r="D151" s="23">
        <v>-87</v>
      </c>
      <c r="E151" s="23">
        <v>-104</v>
      </c>
      <c r="F151" s="22">
        <v>338</v>
      </c>
      <c r="G151" s="23">
        <v>-192</v>
      </c>
      <c r="H151" s="22">
        <v>87</v>
      </c>
      <c r="I151" s="23">
        <v>-236</v>
      </c>
      <c r="J151" s="23">
        <v>-303</v>
      </c>
      <c r="K151" s="22">
        <v>425</v>
      </c>
      <c r="L151" s="23">
        <v>-1115</v>
      </c>
      <c r="M151" s="23">
        <v>-382</v>
      </c>
      <c r="N151" s="23">
        <v>-720</v>
      </c>
      <c r="O151" s="23">
        <v>-125</v>
      </c>
      <c r="P151" s="23">
        <v>-563</v>
      </c>
      <c r="Q151" s="23">
        <v>-450</v>
      </c>
      <c r="R151" s="23">
        <v>-14</v>
      </c>
      <c r="S151" s="22">
        <v>74</v>
      </c>
      <c r="T151" s="22">
        <v>126</v>
      </c>
      <c r="U151" s="23">
        <v>-363</v>
      </c>
      <c r="V151" s="23">
        <v>-696</v>
      </c>
      <c r="W151" s="22">
        <v>1010</v>
      </c>
      <c r="X151" s="22">
        <v>260</v>
      </c>
      <c r="Y151" s="22">
        <v>595</v>
      </c>
      <c r="Z151" s="22">
        <v>2680</v>
      </c>
      <c r="AA151" s="23">
        <v>-1801</v>
      </c>
    </row>
    <row r="152" spans="1:29" x14ac:dyDescent="0.25">
      <c r="A152" s="268" t="s">
        <v>320</v>
      </c>
      <c r="B152" s="22">
        <v>972655</v>
      </c>
      <c r="C152" s="22">
        <v>712329</v>
      </c>
      <c r="D152" s="22">
        <v>1035953</v>
      </c>
      <c r="E152" s="22">
        <v>1387082</v>
      </c>
      <c r="F152" s="22">
        <v>1471660</v>
      </c>
      <c r="G152" s="22">
        <v>849827</v>
      </c>
      <c r="H152" s="22">
        <v>1376100</v>
      </c>
      <c r="I152" s="22">
        <v>884515</v>
      </c>
      <c r="J152" s="22">
        <v>505816</v>
      </c>
      <c r="K152" s="22">
        <v>542048</v>
      </c>
      <c r="L152" s="22">
        <v>700290</v>
      </c>
      <c r="M152" s="22">
        <v>1140525</v>
      </c>
      <c r="N152" s="22">
        <v>891654</v>
      </c>
      <c r="O152" s="22">
        <v>815207</v>
      </c>
      <c r="P152" s="22">
        <v>847808</v>
      </c>
      <c r="Q152" s="22">
        <v>1318761</v>
      </c>
      <c r="R152" s="22">
        <v>541148</v>
      </c>
      <c r="S152" s="22">
        <v>208308</v>
      </c>
      <c r="T152" s="22">
        <v>231410</v>
      </c>
      <c r="U152" s="22">
        <v>288881</v>
      </c>
      <c r="V152" s="22">
        <v>1408071</v>
      </c>
      <c r="W152" s="22">
        <v>1010631</v>
      </c>
      <c r="X152" s="22">
        <v>878300</v>
      </c>
      <c r="Y152" s="22">
        <v>1080364</v>
      </c>
      <c r="Z152" s="22">
        <v>327715</v>
      </c>
      <c r="AA152" s="22">
        <v>222515</v>
      </c>
    </row>
    <row r="153" spans="1:29" x14ac:dyDescent="0.25">
      <c r="A153" s="268" t="s">
        <v>471</v>
      </c>
      <c r="B153" s="22">
        <v>712329</v>
      </c>
      <c r="C153" s="22">
        <v>1035953</v>
      </c>
      <c r="D153" s="22">
        <v>1387082</v>
      </c>
      <c r="E153" s="22">
        <v>1471660</v>
      </c>
      <c r="F153" s="22">
        <v>849827</v>
      </c>
      <c r="G153" s="22">
        <v>1376100</v>
      </c>
      <c r="H153" s="22">
        <v>884515</v>
      </c>
      <c r="I153" s="22">
        <v>505816</v>
      </c>
      <c r="J153" s="22">
        <v>542048</v>
      </c>
      <c r="K153" s="22">
        <v>700290</v>
      </c>
      <c r="L153" s="22">
        <v>1140525</v>
      </c>
      <c r="M153" s="22">
        <v>891654</v>
      </c>
      <c r="N153" s="22">
        <v>815207</v>
      </c>
      <c r="O153" s="22">
        <v>847808</v>
      </c>
      <c r="P153" s="22">
        <v>1318761</v>
      </c>
      <c r="Q153" s="22">
        <v>541148</v>
      </c>
      <c r="R153" s="22">
        <v>208308</v>
      </c>
      <c r="S153" s="22">
        <v>231410</v>
      </c>
      <c r="T153" s="22">
        <v>288881</v>
      </c>
      <c r="U153" s="22">
        <v>1408071</v>
      </c>
      <c r="V153" s="22">
        <v>1010631</v>
      </c>
      <c r="W153" s="22">
        <v>878300</v>
      </c>
      <c r="X153" s="22">
        <v>1080364</v>
      </c>
      <c r="Y153" s="22">
        <v>327715</v>
      </c>
      <c r="Z153" s="22">
        <v>222515</v>
      </c>
      <c r="AA153" s="22">
        <v>293973</v>
      </c>
    </row>
    <row r="154" spans="1:29" s="302" customFormat="1" x14ac:dyDescent="0.25">
      <c r="A154" s="60" t="s">
        <v>322</v>
      </c>
      <c r="B154" s="296">
        <v>18399</v>
      </c>
      <c r="C154" s="296">
        <v>27374</v>
      </c>
      <c r="D154" s="296">
        <v>52978</v>
      </c>
      <c r="E154" s="296">
        <v>165862</v>
      </c>
      <c r="F154" s="296">
        <v>87164</v>
      </c>
      <c r="G154" s="296">
        <v>69123</v>
      </c>
      <c r="H154" s="296">
        <v>96679</v>
      </c>
      <c r="I154" s="296">
        <v>176241</v>
      </c>
      <c r="J154" s="296">
        <v>252481</v>
      </c>
      <c r="K154" s="296">
        <v>215496</v>
      </c>
      <c r="L154" s="296">
        <v>212072</v>
      </c>
      <c r="M154" s="296">
        <v>290063</v>
      </c>
      <c r="N154" s="296">
        <v>490815</v>
      </c>
      <c r="O154" s="296">
        <v>273729</v>
      </c>
      <c r="P154" s="296">
        <v>130522</v>
      </c>
      <c r="Q154" s="296">
        <v>121129</v>
      </c>
      <c r="R154" s="296">
        <v>111047</v>
      </c>
      <c r="S154" s="296">
        <v>43359</v>
      </c>
      <c r="T154" s="296">
        <v>113077</v>
      </c>
      <c r="U154" s="296">
        <v>116568</v>
      </c>
      <c r="V154" s="296">
        <v>180223</v>
      </c>
      <c r="W154" s="296">
        <v>164421</v>
      </c>
      <c r="X154" s="296">
        <v>192798</v>
      </c>
      <c r="Y154" s="296">
        <v>206254</v>
      </c>
      <c r="Z154" s="296">
        <v>177743</v>
      </c>
      <c r="AA154" s="296">
        <v>179404</v>
      </c>
      <c r="AC154" s="12"/>
    </row>
    <row r="155" spans="1:29" x14ac:dyDescent="0.25">
      <c r="V155" s="34"/>
      <c r="W155" s="34"/>
      <c r="X155" s="34"/>
    </row>
    <row r="156" spans="1:29" x14ac:dyDescent="0.25">
      <c r="A156" s="309" t="s">
        <v>361</v>
      </c>
      <c r="B156" s="12" t="s">
        <v>472</v>
      </c>
      <c r="L156" s="12" t="s">
        <v>473</v>
      </c>
    </row>
    <row r="157" spans="1:29" x14ac:dyDescent="0.25">
      <c r="A157" s="309" t="s">
        <v>420</v>
      </c>
      <c r="B157" s="12" t="s">
        <v>474</v>
      </c>
      <c r="L157" s="12" t="s">
        <v>475</v>
      </c>
      <c r="R157" s="255"/>
      <c r="S157" s="255"/>
    </row>
    <row r="158" spans="1:29" x14ac:dyDescent="0.25">
      <c r="A158" s="309" t="s">
        <v>476</v>
      </c>
      <c r="B158" s="12" t="s">
        <v>477</v>
      </c>
      <c r="L158" s="12" t="s">
        <v>478</v>
      </c>
      <c r="R158" s="255"/>
      <c r="S158" s="255"/>
    </row>
    <row r="159" spans="1:29" x14ac:dyDescent="0.25">
      <c r="A159" s="309" t="s">
        <v>479</v>
      </c>
      <c r="B159" s="12" t="s">
        <v>480</v>
      </c>
      <c r="L159" s="12" t="s">
        <v>480</v>
      </c>
    </row>
  </sheetData>
  <customSheetViews>
    <customSheetView guid="{627AEB6E-B9F1-415E-9A60-881757A50C67}" scale="90">
      <pane xSplit="1" ySplit="4" topLeftCell="Y5" activePane="bottomRight" state="frozen"/>
      <selection pane="bottomRight" activeCell="A22" sqref="A22"/>
      <pageMargins left="0.7" right="0.7" top="0.75" bottom="0.75" header="0.3" footer="0.3"/>
    </customSheetView>
    <customSheetView guid="{AAA495E0-27FD-4941-85B8-9038B6AD4FA3}" scale="90">
      <pane xSplit="1" ySplit="4" topLeftCell="S125" activePane="bottomRight" state="frozen"/>
      <selection pane="bottomRight" activeCell="AC139" activeCellId="1" sqref="AC144:AC145 AC139"/>
      <pageMargins left="0.7" right="0.7" top="0.75" bottom="0.75" header="0.3" footer="0.3"/>
    </customSheetView>
    <customSheetView guid="{874BA5F8-BD95-4DDF-8F31-98DB154CA965}" scale="90">
      <pane xSplit="1" ySplit="4" topLeftCell="S125" activePane="bottomRight" state="frozen"/>
      <selection pane="bottomRight" activeCell="AC139" activeCellId="1" sqref="AC144:AC145 AC139"/>
      <pageMargins left="0.7" right="0.7" top="0.75" bottom="0.75" header="0.3" footer="0.3"/>
    </customSheetView>
    <customSheetView guid="{77EFF5B1-32BE-4080-9902-B97F43099026}" scale="90">
      <pane xSplit="1" ySplit="4" topLeftCell="Y5" activePane="bottomRight" state="frozen"/>
      <selection pane="bottomRight" activeCell="A22" sqref="A22"/>
      <pageMargins left="0.7" right="0.7" top="0.75" bottom="0.75" header="0.3" footer="0.3"/>
    </customSheetView>
  </customSheetViews>
  <mergeCells count="30">
    <mergeCell ref="J92:J93"/>
    <mergeCell ref="L92:L93"/>
    <mergeCell ref="B92:B93"/>
    <mergeCell ref="C92:C93"/>
    <mergeCell ref="D92:D93"/>
    <mergeCell ref="F92:F93"/>
    <mergeCell ref="G92:G93"/>
    <mergeCell ref="H92:H93"/>
    <mergeCell ref="P43:P44"/>
    <mergeCell ref="B82:B83"/>
    <mergeCell ref="C82:C83"/>
    <mergeCell ref="D82:D83"/>
    <mergeCell ref="F82:F83"/>
    <mergeCell ref="G82:G83"/>
    <mergeCell ref="H82:H83"/>
    <mergeCell ref="J82:J83"/>
    <mergeCell ref="K82:K83"/>
    <mergeCell ref="L82:L83"/>
    <mergeCell ref="H43:H44"/>
    <mergeCell ref="J43:J44"/>
    <mergeCell ref="K43:K44"/>
    <mergeCell ref="L43:L44"/>
    <mergeCell ref="N43:N44"/>
    <mergeCell ref="O43:O44"/>
    <mergeCell ref="G43:G44"/>
    <mergeCell ref="B43:B44"/>
    <mergeCell ref="C43:C44"/>
    <mergeCell ref="D43:D44"/>
    <mergeCell ref="E43:E44"/>
    <mergeCell ref="F43:F4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P159"/>
  <sheetViews>
    <sheetView zoomScale="90" zoomScaleNormal="90" workbookViewId="0">
      <pane xSplit="1" ySplit="4" topLeftCell="F71" activePane="bottomRight" state="frozen"/>
      <selection pane="topRight" activeCell="B1" sqref="B1"/>
      <selection pane="bottomLeft" activeCell="A5" sqref="A5"/>
      <selection pane="bottomRight" activeCell="P152" sqref="P152"/>
    </sheetView>
  </sheetViews>
  <sheetFormatPr defaultColWidth="12.42578125" defaultRowHeight="15" x14ac:dyDescent="0.25"/>
  <cols>
    <col min="1" max="1" width="85.5703125" style="12" customWidth="1"/>
    <col min="2" max="2" width="21.85546875" style="12" customWidth="1"/>
    <col min="3" max="8" width="21.5703125" style="12" customWidth="1"/>
    <col min="9" max="9" width="25.140625" style="12" customWidth="1"/>
    <col min="10" max="10" width="16" style="12" customWidth="1"/>
    <col min="11" max="11" width="18" style="12" customWidth="1"/>
    <col min="12" max="14" width="16.7109375" style="12" customWidth="1"/>
    <col min="15" max="16384" width="12.42578125" style="12"/>
  </cols>
  <sheetData>
    <row r="1" spans="1:15" ht="27.95" customHeight="1" x14ac:dyDescent="0.25">
      <c r="A1" s="1" t="s">
        <v>481</v>
      </c>
      <c r="B1" s="97"/>
      <c r="C1" s="6"/>
    </row>
    <row r="2" spans="1:15" ht="15.75" x14ac:dyDescent="0.25">
      <c r="A2" s="244" t="s">
        <v>203</v>
      </c>
      <c r="B2" s="245"/>
      <c r="C2" s="245"/>
      <c r="D2" s="245"/>
      <c r="E2" s="245"/>
      <c r="F2" s="246"/>
      <c r="G2" s="246"/>
      <c r="H2" s="246"/>
      <c r="I2" s="246"/>
      <c r="J2" s="246"/>
      <c r="K2" s="246"/>
      <c r="L2" s="246"/>
      <c r="M2" s="246"/>
      <c r="N2" s="246"/>
    </row>
    <row r="3" spans="1:15" ht="25.5" x14ac:dyDescent="0.25">
      <c r="A3" s="248" t="s">
        <v>86</v>
      </c>
      <c r="B3" s="111" t="s">
        <v>482</v>
      </c>
      <c r="C3" s="111" t="s">
        <v>483</v>
      </c>
      <c r="D3" s="111" t="s">
        <v>484</v>
      </c>
      <c r="E3" s="111" t="s">
        <v>485</v>
      </c>
      <c r="F3" s="111" t="s">
        <v>486</v>
      </c>
      <c r="G3" s="250" t="s">
        <v>487</v>
      </c>
      <c r="H3" s="111" t="s">
        <v>488</v>
      </c>
      <c r="I3" s="250" t="s">
        <v>489</v>
      </c>
      <c r="J3" s="111" t="s">
        <v>13</v>
      </c>
      <c r="K3" s="111" t="s">
        <v>490</v>
      </c>
      <c r="L3" s="111" t="s">
        <v>491</v>
      </c>
      <c r="M3" s="111" t="s">
        <v>492</v>
      </c>
      <c r="N3" s="111" t="s">
        <v>533</v>
      </c>
    </row>
    <row r="4" spans="1:15" x14ac:dyDescent="0.25">
      <c r="A4" s="8"/>
      <c r="B4" s="310"/>
      <c r="C4" s="310"/>
      <c r="D4" s="310"/>
      <c r="E4" s="310"/>
      <c r="F4" s="311"/>
      <c r="G4" s="311"/>
      <c r="H4" s="312"/>
    </row>
    <row r="5" spans="1:15" x14ac:dyDescent="0.25">
      <c r="A5" s="8" t="s">
        <v>205</v>
      </c>
      <c r="B5" s="309">
        <v>7260289</v>
      </c>
      <c r="C5" s="309">
        <v>8168590</v>
      </c>
      <c r="D5" s="309">
        <v>10331144</v>
      </c>
      <c r="E5" s="309">
        <v>10424078</v>
      </c>
      <c r="F5" s="309">
        <v>12313986</v>
      </c>
      <c r="G5" s="309">
        <v>12438999</v>
      </c>
      <c r="H5" s="309">
        <f>9706524-32922</f>
        <v>9673602</v>
      </c>
      <c r="I5" s="309">
        <v>9426214</v>
      </c>
      <c r="J5" s="309">
        <v>9305450</v>
      </c>
      <c r="K5" s="313">
        <v>9214448</v>
      </c>
      <c r="L5" s="313">
        <v>9256614</v>
      </c>
      <c r="M5" s="313">
        <v>9118610</v>
      </c>
      <c r="N5" s="313">
        <v>8942857</v>
      </c>
      <c r="O5" s="313"/>
    </row>
    <row r="6" spans="1:15" x14ac:dyDescent="0.25">
      <c r="A6" s="52" t="s">
        <v>206</v>
      </c>
      <c r="B6" s="309">
        <v>-5996628</v>
      </c>
      <c r="C6" s="309">
        <v>-7092500</v>
      </c>
      <c r="D6" s="309">
        <v>-8929150</v>
      </c>
      <c r="E6" s="309">
        <v>-9245204</v>
      </c>
      <c r="F6" s="309">
        <v>-10493905</v>
      </c>
      <c r="G6" s="309">
        <v>-10788149</v>
      </c>
      <c r="H6" s="309">
        <f>-7928047+32922</f>
        <v>-7895125</v>
      </c>
      <c r="I6" s="309">
        <v>-8062414</v>
      </c>
      <c r="J6" s="309">
        <v>-7644323</v>
      </c>
      <c r="K6" s="313">
        <v>-7946875</v>
      </c>
      <c r="L6" s="313">
        <v>-7612275</v>
      </c>
      <c r="M6" s="313">
        <v>-11528500</v>
      </c>
      <c r="N6" s="313">
        <v>-8286129</v>
      </c>
      <c r="O6" s="313"/>
    </row>
    <row r="7" spans="1:15" x14ac:dyDescent="0.25">
      <c r="A7" s="8" t="s">
        <v>349</v>
      </c>
      <c r="B7" s="309">
        <v>1263661</v>
      </c>
      <c r="C7" s="309">
        <v>1076090</v>
      </c>
      <c r="D7" s="309">
        <v>1401994</v>
      </c>
      <c r="E7" s="309">
        <v>1178874</v>
      </c>
      <c r="F7" s="309">
        <v>1820081</v>
      </c>
      <c r="G7" s="309">
        <v>1650850</v>
      </c>
      <c r="H7" s="309">
        <f>1778477</f>
        <v>1778477</v>
      </c>
      <c r="I7" s="309">
        <v>1363800</v>
      </c>
      <c r="J7" s="309">
        <v>1661127</v>
      </c>
      <c r="K7" s="313">
        <v>1267573</v>
      </c>
      <c r="L7" s="313">
        <v>1644339</v>
      </c>
      <c r="M7" s="313">
        <v>-2409890</v>
      </c>
      <c r="N7" s="313">
        <v>656728</v>
      </c>
      <c r="O7" s="313"/>
    </row>
    <row r="8" spans="1:15" x14ac:dyDescent="0.25">
      <c r="A8" s="52" t="s">
        <v>350</v>
      </c>
      <c r="B8" s="309">
        <v>52643</v>
      </c>
      <c r="C8" s="309">
        <v>52543</v>
      </c>
      <c r="D8" s="309">
        <v>44458</v>
      </c>
      <c r="E8" s="309">
        <v>54988</v>
      </c>
      <c r="F8" s="309">
        <v>48800</v>
      </c>
      <c r="G8" s="309">
        <v>70101</v>
      </c>
      <c r="H8" s="309">
        <v>63082</v>
      </c>
      <c r="I8" s="309">
        <v>64354</v>
      </c>
      <c r="J8" s="309">
        <v>79801</v>
      </c>
      <c r="K8" s="313">
        <v>153505</v>
      </c>
      <c r="L8" s="313">
        <v>73322</v>
      </c>
      <c r="M8" s="313">
        <v>98033</v>
      </c>
      <c r="N8" s="313">
        <v>59053</v>
      </c>
      <c r="O8" s="313"/>
    </row>
    <row r="9" spans="1:15" x14ac:dyDescent="0.25">
      <c r="A9" s="52" t="s">
        <v>208</v>
      </c>
      <c r="B9" s="309">
        <v>-109214</v>
      </c>
      <c r="C9" s="309">
        <v>-122038</v>
      </c>
      <c r="D9" s="309">
        <v>-150790</v>
      </c>
      <c r="E9" s="309">
        <v>-132592</v>
      </c>
      <c r="F9" s="309">
        <v>-230974</v>
      </c>
      <c r="G9" s="309">
        <v>-321317</v>
      </c>
      <c r="H9" s="309">
        <v>-270173</v>
      </c>
      <c r="I9" s="309">
        <v>-283329</v>
      </c>
      <c r="J9" s="309">
        <v>-257189</v>
      </c>
      <c r="K9" s="313">
        <v>-291975</v>
      </c>
      <c r="L9" s="313">
        <v>-237832</v>
      </c>
      <c r="M9" s="313">
        <v>-251027</v>
      </c>
      <c r="N9" s="313">
        <v>-220397</v>
      </c>
      <c r="O9" s="313"/>
    </row>
    <row r="10" spans="1:15" x14ac:dyDescent="0.25">
      <c r="A10" s="52" t="s">
        <v>209</v>
      </c>
      <c r="B10" s="309">
        <v>-340620</v>
      </c>
      <c r="C10" s="309">
        <v>-329688</v>
      </c>
      <c r="D10" s="309">
        <v>-308572</v>
      </c>
      <c r="E10" s="309">
        <v>-355398</v>
      </c>
      <c r="F10" s="309">
        <v>-339879</v>
      </c>
      <c r="G10" s="309">
        <v>-394875</v>
      </c>
      <c r="H10" s="309">
        <v>-342054</v>
      </c>
      <c r="I10" s="309">
        <v>-303352</v>
      </c>
      <c r="J10" s="309">
        <v>-332199</v>
      </c>
      <c r="K10" s="313">
        <v>-331988</v>
      </c>
      <c r="L10" s="313">
        <v>-312824</v>
      </c>
      <c r="M10" s="313">
        <v>-306145</v>
      </c>
      <c r="N10" s="313">
        <v>-317979</v>
      </c>
      <c r="O10" s="313"/>
    </row>
    <row r="11" spans="1:15" x14ac:dyDescent="0.25">
      <c r="A11" s="52" t="s">
        <v>351</v>
      </c>
      <c r="B11" s="309">
        <v>-83719</v>
      </c>
      <c r="C11" s="309">
        <v>-60399</v>
      </c>
      <c r="D11" s="309">
        <v>-49012</v>
      </c>
      <c r="E11" s="309">
        <v>-38446</v>
      </c>
      <c r="F11" s="309">
        <v>-44623</v>
      </c>
      <c r="G11" s="309">
        <v>-93035</v>
      </c>
      <c r="H11" s="309">
        <v>-39558</v>
      </c>
      <c r="I11" s="309">
        <v>-95565</v>
      </c>
      <c r="J11" s="309">
        <v>-69086</v>
      </c>
      <c r="K11" s="313">
        <v>-49456</v>
      </c>
      <c r="L11" s="313">
        <v>-122703</v>
      </c>
      <c r="M11" s="313">
        <v>-76414</v>
      </c>
      <c r="N11" s="313">
        <v>-43760</v>
      </c>
      <c r="O11" s="313"/>
    </row>
    <row r="12" spans="1:15" x14ac:dyDescent="0.25">
      <c r="A12" s="8" t="s">
        <v>352</v>
      </c>
      <c r="B12" s="309">
        <v>782751</v>
      </c>
      <c r="C12" s="309">
        <v>616508</v>
      </c>
      <c r="D12" s="309">
        <v>938078</v>
      </c>
      <c r="E12" s="309">
        <v>707426</v>
      </c>
      <c r="F12" s="309">
        <v>1253405</v>
      </c>
      <c r="G12" s="309">
        <v>911724</v>
      </c>
      <c r="H12" s="309">
        <f>1189774</f>
        <v>1189774</v>
      </c>
      <c r="I12" s="309">
        <v>745908</v>
      </c>
      <c r="J12" s="309">
        <v>1082454</v>
      </c>
      <c r="K12" s="313">
        <v>747659</v>
      </c>
      <c r="L12" s="313">
        <v>1044302</v>
      </c>
      <c r="M12" s="313">
        <v>-2945443</v>
      </c>
      <c r="N12" s="313">
        <v>133645</v>
      </c>
      <c r="O12" s="313"/>
    </row>
    <row r="13" spans="1:15" x14ac:dyDescent="0.25">
      <c r="A13" s="52" t="s">
        <v>213</v>
      </c>
      <c r="B13" s="309">
        <v>43783</v>
      </c>
      <c r="C13" s="309">
        <v>48501</v>
      </c>
      <c r="D13" s="309">
        <v>54821</v>
      </c>
      <c r="E13" s="309">
        <v>60946</v>
      </c>
      <c r="F13" s="309">
        <v>53337</v>
      </c>
      <c r="G13" s="309">
        <v>77969</v>
      </c>
      <c r="H13" s="309">
        <v>58663</v>
      </c>
      <c r="I13" s="309">
        <v>40594</v>
      </c>
      <c r="J13" s="309">
        <v>28961</v>
      </c>
      <c r="K13" s="313">
        <v>57237</v>
      </c>
      <c r="L13" s="313">
        <v>42078</v>
      </c>
      <c r="M13" s="313">
        <v>31374</v>
      </c>
      <c r="N13" s="313">
        <v>55939</v>
      </c>
      <c r="O13" s="313"/>
    </row>
    <row r="14" spans="1:15" x14ac:dyDescent="0.25">
      <c r="A14" s="52" t="s">
        <v>353</v>
      </c>
      <c r="B14" s="309">
        <v>-105076</v>
      </c>
      <c r="C14" s="309">
        <v>-128917</v>
      </c>
      <c r="D14" s="309">
        <v>-77495</v>
      </c>
      <c r="E14" s="309">
        <v>-82779</v>
      </c>
      <c r="F14" s="309">
        <v>-163715</v>
      </c>
      <c r="G14" s="309">
        <v>-183409</v>
      </c>
      <c r="H14" s="309">
        <v>-160869</v>
      </c>
      <c r="I14" s="309">
        <v>-186124</v>
      </c>
      <c r="J14" s="309">
        <v>-185096</v>
      </c>
      <c r="K14" s="313">
        <v>-232064</v>
      </c>
      <c r="L14" s="313">
        <v>-232447</v>
      </c>
      <c r="M14" s="313">
        <v>-135568</v>
      </c>
      <c r="N14" s="313">
        <v>-216770</v>
      </c>
      <c r="O14" s="313"/>
    </row>
    <row r="15" spans="1:15" x14ac:dyDescent="0.25">
      <c r="A15" s="52" t="s">
        <v>354</v>
      </c>
      <c r="B15" s="309">
        <v>0</v>
      </c>
      <c r="C15" s="309">
        <v>-236</v>
      </c>
      <c r="D15" s="309">
        <v>-539</v>
      </c>
      <c r="E15" s="309">
        <v>-507</v>
      </c>
      <c r="F15" s="309">
        <v>-671</v>
      </c>
      <c r="G15" s="309">
        <v>-1063</v>
      </c>
      <c r="H15" s="309">
        <v>-1414</v>
      </c>
      <c r="I15" s="309">
        <v>-1295</v>
      </c>
      <c r="J15" s="309">
        <v>-776</v>
      </c>
      <c r="K15" s="313">
        <v>-160</v>
      </c>
      <c r="L15" s="313">
        <v>4870</v>
      </c>
      <c r="M15" s="313">
        <v>3063</v>
      </c>
      <c r="N15" s="313">
        <v>59861</v>
      </c>
      <c r="O15" s="313"/>
    </row>
    <row r="16" spans="1:15" x14ac:dyDescent="0.25">
      <c r="A16" s="8" t="s">
        <v>355</v>
      </c>
      <c r="B16" s="309">
        <v>721458</v>
      </c>
      <c r="C16" s="309">
        <v>535856</v>
      </c>
      <c r="D16" s="309">
        <v>914865</v>
      </c>
      <c r="E16" s="309">
        <v>685086</v>
      </c>
      <c r="F16" s="309">
        <v>1142356</v>
      </c>
      <c r="G16" s="309">
        <v>805221</v>
      </c>
      <c r="H16" s="309">
        <f>1086154</f>
        <v>1086154</v>
      </c>
      <c r="I16" s="309">
        <v>599083</v>
      </c>
      <c r="J16" s="309">
        <v>925543</v>
      </c>
      <c r="K16" s="313">
        <v>572672</v>
      </c>
      <c r="L16" s="313">
        <v>858803</v>
      </c>
      <c r="M16" s="313">
        <v>-3046574</v>
      </c>
      <c r="N16" s="313">
        <v>32675</v>
      </c>
      <c r="O16" s="313"/>
    </row>
    <row r="17" spans="1:42" x14ac:dyDescent="0.25">
      <c r="A17" s="52" t="s">
        <v>217</v>
      </c>
      <c r="B17" s="309">
        <v>-148497</v>
      </c>
      <c r="C17" s="309">
        <v>-117434</v>
      </c>
      <c r="D17" s="309">
        <v>-186918</v>
      </c>
      <c r="E17" s="309">
        <v>-146099</v>
      </c>
      <c r="F17" s="309">
        <v>-252135</v>
      </c>
      <c r="G17" s="309">
        <v>-144643</v>
      </c>
      <c r="H17" s="309">
        <f>-194272</f>
        <v>-194272</v>
      </c>
      <c r="I17" s="309">
        <v>-143171</v>
      </c>
      <c r="J17" s="309">
        <v>-191621</v>
      </c>
      <c r="K17" s="313">
        <v>-121034</v>
      </c>
      <c r="L17" s="313">
        <v>-138416</v>
      </c>
      <c r="M17" s="313">
        <v>521972</v>
      </c>
      <c r="N17" s="313">
        <v>-27958</v>
      </c>
      <c r="O17" s="313"/>
    </row>
    <row r="18" spans="1:42" x14ac:dyDescent="0.25">
      <c r="A18" s="25" t="s">
        <v>356</v>
      </c>
      <c r="B18" s="309">
        <v>572961</v>
      </c>
      <c r="C18" s="309">
        <v>418422</v>
      </c>
      <c r="D18" s="309">
        <v>727947</v>
      </c>
      <c r="E18" s="309">
        <v>538987</v>
      </c>
      <c r="F18" s="309">
        <v>890221</v>
      </c>
      <c r="G18" s="309">
        <v>660578</v>
      </c>
      <c r="H18" s="309">
        <f>891882</f>
        <v>891882</v>
      </c>
      <c r="I18" s="309">
        <v>455912</v>
      </c>
      <c r="J18" s="309">
        <v>733922</v>
      </c>
      <c r="K18" s="313">
        <v>451638</v>
      </c>
      <c r="L18" s="313">
        <v>720387</v>
      </c>
      <c r="M18" s="313">
        <v>-2524602</v>
      </c>
      <c r="N18" s="313">
        <v>4717</v>
      </c>
      <c r="O18" s="313"/>
    </row>
    <row r="19" spans="1:42" x14ac:dyDescent="0.25">
      <c r="A19" s="8"/>
      <c r="B19" s="314"/>
      <c r="C19" s="314"/>
      <c r="D19" s="315"/>
      <c r="E19" s="314"/>
      <c r="F19" s="315"/>
      <c r="G19" s="315"/>
      <c r="H19" s="315"/>
      <c r="I19" s="315"/>
      <c r="J19" s="315"/>
      <c r="K19" s="315"/>
      <c r="L19" s="315"/>
      <c r="M19" s="316"/>
      <c r="N19" s="316"/>
      <c r="O19" s="313"/>
    </row>
    <row r="20" spans="1:42" x14ac:dyDescent="0.25">
      <c r="A20" s="14" t="s">
        <v>357</v>
      </c>
      <c r="B20" s="317"/>
      <c r="C20" s="270"/>
      <c r="D20" s="318"/>
      <c r="E20" s="270"/>
      <c r="F20" s="318"/>
      <c r="G20" s="318"/>
      <c r="H20" s="319"/>
      <c r="K20" s="313"/>
      <c r="L20" s="313"/>
      <c r="M20" s="313"/>
      <c r="N20" s="313"/>
      <c r="O20" s="313"/>
    </row>
    <row r="21" spans="1:42" s="322" customFormat="1" x14ac:dyDescent="0.25">
      <c r="A21" s="320" t="s">
        <v>358</v>
      </c>
      <c r="B21" s="309">
        <v>0</v>
      </c>
      <c r="C21" s="321">
        <v>0</v>
      </c>
      <c r="D21" s="309">
        <v>0</v>
      </c>
      <c r="E21" s="309">
        <v>0</v>
      </c>
      <c r="F21" s="309">
        <v>11393</v>
      </c>
      <c r="G21" s="309">
        <v>-11393</v>
      </c>
      <c r="H21" s="309">
        <v>0</v>
      </c>
      <c r="I21" s="309">
        <v>0</v>
      </c>
      <c r="J21" s="309">
        <v>0</v>
      </c>
      <c r="K21" s="313">
        <v>0</v>
      </c>
      <c r="L21" s="313">
        <v>0</v>
      </c>
      <c r="M21" s="313">
        <v>0</v>
      </c>
      <c r="N21" s="313">
        <v>0</v>
      </c>
      <c r="O21" s="313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</row>
    <row r="22" spans="1:42" x14ac:dyDescent="0.25">
      <c r="A22" s="65" t="s">
        <v>359</v>
      </c>
      <c r="B22" s="309">
        <v>-7886</v>
      </c>
      <c r="C22" s="321">
        <v>8998</v>
      </c>
      <c r="D22" s="309">
        <v>0</v>
      </c>
      <c r="E22" s="309">
        <v>0</v>
      </c>
      <c r="F22" s="309">
        <v>-40141</v>
      </c>
      <c r="G22" s="309">
        <v>-149615</v>
      </c>
      <c r="H22" s="309">
        <v>36844</v>
      </c>
      <c r="I22" s="306">
        <v>-3447</v>
      </c>
      <c r="J22" s="306">
        <v>-22462</v>
      </c>
      <c r="K22" s="306">
        <v>2255</v>
      </c>
      <c r="L22" s="313">
        <v>48628</v>
      </c>
      <c r="M22" s="313">
        <v>37304</v>
      </c>
      <c r="N22" s="313">
        <v>48846</v>
      </c>
      <c r="O22" s="313"/>
    </row>
    <row r="23" spans="1:42" x14ac:dyDescent="0.25">
      <c r="A23" s="65" t="s">
        <v>360</v>
      </c>
      <c r="B23" s="323" t="s">
        <v>361</v>
      </c>
      <c r="C23" s="323" t="s">
        <v>361</v>
      </c>
      <c r="D23" s="323" t="s">
        <v>361</v>
      </c>
      <c r="E23" s="309">
        <v>37149</v>
      </c>
      <c r="F23" s="309">
        <v>-7036</v>
      </c>
      <c r="G23" s="309">
        <v>-214038</v>
      </c>
      <c r="H23" s="309">
        <v>5391</v>
      </c>
      <c r="I23" s="306">
        <v>16456</v>
      </c>
      <c r="J23" s="306">
        <v>6643</v>
      </c>
      <c r="K23" s="306">
        <v>-345237</v>
      </c>
      <c r="L23" s="313">
        <v>1601</v>
      </c>
      <c r="M23" s="313">
        <v>62535</v>
      </c>
      <c r="N23" s="313">
        <v>-1388</v>
      </c>
      <c r="O23" s="313"/>
    </row>
    <row r="24" spans="1:42" x14ac:dyDescent="0.25">
      <c r="A24" s="65" t="s">
        <v>220</v>
      </c>
      <c r="B24" s="309">
        <v>0</v>
      </c>
      <c r="C24" s="321">
        <v>-271</v>
      </c>
      <c r="D24" s="309">
        <v>151</v>
      </c>
      <c r="E24" s="309">
        <v>207</v>
      </c>
      <c r="F24" s="309">
        <v>-251</v>
      </c>
      <c r="G24" s="309">
        <v>-206</v>
      </c>
      <c r="H24" s="309">
        <v>359</v>
      </c>
      <c r="I24" s="306">
        <v>-1620</v>
      </c>
      <c r="J24" s="306">
        <v>41</v>
      </c>
      <c r="K24" s="306">
        <v>204</v>
      </c>
      <c r="L24" s="313">
        <v>28</v>
      </c>
      <c r="M24" s="313">
        <v>567</v>
      </c>
      <c r="N24" s="313">
        <v>9922</v>
      </c>
      <c r="O24" s="313"/>
    </row>
    <row r="25" spans="1:42" x14ac:dyDescent="0.25">
      <c r="A25" s="65" t="s">
        <v>362</v>
      </c>
      <c r="B25" s="309">
        <v>1498</v>
      </c>
      <c r="C25" s="321">
        <v>-1709</v>
      </c>
      <c r="D25" s="309">
        <v>0</v>
      </c>
      <c r="E25" s="309">
        <v>-7058</v>
      </c>
      <c r="F25" s="309">
        <f>5462+1337</f>
        <v>6799</v>
      </c>
      <c r="G25" s="309">
        <v>70894</v>
      </c>
      <c r="H25" s="309">
        <v>-8023</v>
      </c>
      <c r="I25" s="306">
        <v>-2472</v>
      </c>
      <c r="J25" s="306">
        <v>3008</v>
      </c>
      <c r="K25" s="306">
        <v>65164</v>
      </c>
      <c r="L25" s="313">
        <v>-9546</v>
      </c>
      <c r="M25" s="313">
        <v>-19041</v>
      </c>
      <c r="N25" s="313">
        <v>-9011</v>
      </c>
      <c r="O25" s="313"/>
    </row>
    <row r="26" spans="1:42" x14ac:dyDescent="0.25">
      <c r="A26" s="20" t="s">
        <v>363</v>
      </c>
      <c r="B26" s="309">
        <v>-6388</v>
      </c>
      <c r="C26" s="321">
        <v>7018</v>
      </c>
      <c r="D26" s="309">
        <v>151</v>
      </c>
      <c r="E26" s="309">
        <v>30298</v>
      </c>
      <c r="F26" s="309">
        <f>SUM(F21:F25)</f>
        <v>-29236</v>
      </c>
      <c r="G26" s="309">
        <v>-304358</v>
      </c>
      <c r="H26" s="309">
        <v>34571</v>
      </c>
      <c r="I26" s="306">
        <v>8917</v>
      </c>
      <c r="J26" s="306">
        <v>-12770</v>
      </c>
      <c r="K26" s="306">
        <v>-277614</v>
      </c>
      <c r="L26" s="313">
        <v>40711</v>
      </c>
      <c r="M26" s="313">
        <v>81365</v>
      </c>
      <c r="N26" s="313">
        <v>48369</v>
      </c>
      <c r="O26" s="313"/>
    </row>
    <row r="27" spans="1:42" x14ac:dyDescent="0.25">
      <c r="A27" s="20" t="s">
        <v>364</v>
      </c>
      <c r="B27" s="309">
        <v>566573</v>
      </c>
      <c r="C27" s="321">
        <v>425440</v>
      </c>
      <c r="D27" s="309">
        <v>728098</v>
      </c>
      <c r="E27" s="309">
        <v>569285</v>
      </c>
      <c r="F27" s="309">
        <v>860985</v>
      </c>
      <c r="G27" s="309">
        <v>356220</v>
      </c>
      <c r="H27" s="309">
        <v>926453</v>
      </c>
      <c r="I27" s="306">
        <v>464829</v>
      </c>
      <c r="J27" s="306">
        <v>721152</v>
      </c>
      <c r="K27" s="306">
        <v>174024</v>
      </c>
      <c r="L27" s="313">
        <v>761098</v>
      </c>
      <c r="M27" s="313">
        <v>-2443237</v>
      </c>
      <c r="N27" s="313">
        <v>53086</v>
      </c>
      <c r="O27" s="313"/>
    </row>
    <row r="28" spans="1:42" x14ac:dyDescent="0.25">
      <c r="A28" s="20" t="s">
        <v>365</v>
      </c>
      <c r="B28" s="318"/>
      <c r="C28" s="324"/>
      <c r="D28" s="318"/>
      <c r="E28" s="318"/>
      <c r="F28" s="318"/>
      <c r="G28" s="309"/>
      <c r="H28" s="309"/>
      <c r="I28" s="306"/>
      <c r="J28" s="306"/>
      <c r="K28" s="306"/>
      <c r="L28" s="313"/>
      <c r="M28" s="313"/>
      <c r="N28" s="313"/>
      <c r="O28" s="313"/>
    </row>
    <row r="29" spans="1:42" x14ac:dyDescent="0.25">
      <c r="A29" s="65" t="s">
        <v>229</v>
      </c>
      <c r="B29" s="309">
        <v>481767</v>
      </c>
      <c r="C29" s="321">
        <v>376889</v>
      </c>
      <c r="D29" s="309">
        <v>704033</v>
      </c>
      <c r="E29" s="309">
        <v>541083</v>
      </c>
      <c r="F29" s="309">
        <v>857001</v>
      </c>
      <c r="G29" s="309">
        <v>619391</v>
      </c>
      <c r="H29" s="309">
        <v>849232</v>
      </c>
      <c r="I29" s="306">
        <v>460391</v>
      </c>
      <c r="J29" s="306">
        <v>730290</v>
      </c>
      <c r="K29" s="306">
        <v>450603</v>
      </c>
      <c r="L29" s="313">
        <v>718524</v>
      </c>
      <c r="M29" s="313">
        <v>-2525841</v>
      </c>
      <c r="N29" s="313">
        <v>3435</v>
      </c>
      <c r="O29" s="313"/>
    </row>
    <row r="30" spans="1:42" x14ac:dyDescent="0.25">
      <c r="A30" s="65" t="s">
        <v>230</v>
      </c>
      <c r="B30" s="309">
        <v>91194</v>
      </c>
      <c r="C30" s="321">
        <v>41533</v>
      </c>
      <c r="D30" s="309">
        <v>23914</v>
      </c>
      <c r="E30" s="309">
        <v>-2096</v>
      </c>
      <c r="F30" s="309">
        <v>33220</v>
      </c>
      <c r="G30" s="309">
        <v>41187</v>
      </c>
      <c r="H30" s="309">
        <v>42650</v>
      </c>
      <c r="I30" s="306">
        <v>-4479</v>
      </c>
      <c r="J30" s="306">
        <v>3632</v>
      </c>
      <c r="K30" s="306">
        <v>1035</v>
      </c>
      <c r="L30" s="313">
        <v>1863</v>
      </c>
      <c r="M30" s="313">
        <v>1239</v>
      </c>
      <c r="N30" s="313">
        <v>1282</v>
      </c>
      <c r="O30" s="313"/>
    </row>
    <row r="31" spans="1:42" x14ac:dyDescent="0.25">
      <c r="A31" s="20" t="s">
        <v>231</v>
      </c>
      <c r="B31" s="309"/>
      <c r="C31" s="321"/>
      <c r="D31" s="309"/>
      <c r="E31" s="309"/>
      <c r="F31" s="309"/>
      <c r="G31" s="309"/>
      <c r="H31" s="325"/>
      <c r="I31" s="306"/>
      <c r="J31" s="306"/>
      <c r="K31" s="306"/>
      <c r="L31" s="313"/>
      <c r="M31" s="313"/>
      <c r="N31" s="313"/>
      <c r="O31" s="313"/>
    </row>
    <row r="32" spans="1:42" x14ac:dyDescent="0.25">
      <c r="A32" s="65" t="s">
        <v>229</v>
      </c>
      <c r="B32" s="309">
        <v>476337</v>
      </c>
      <c r="C32" s="321">
        <v>382814</v>
      </c>
      <c r="D32" s="309">
        <v>704184</v>
      </c>
      <c r="E32" s="309">
        <v>569453</v>
      </c>
      <c r="F32" s="309">
        <v>827803</v>
      </c>
      <c r="G32" s="309">
        <v>329814</v>
      </c>
      <c r="H32" s="309">
        <v>882324</v>
      </c>
      <c r="I32" s="306">
        <v>468104</v>
      </c>
      <c r="J32" s="306">
        <v>717505</v>
      </c>
      <c r="K32" s="306">
        <v>173374</v>
      </c>
      <c r="L32" s="313">
        <v>759233</v>
      </c>
      <c r="M32" s="313">
        <v>-2444534</v>
      </c>
      <c r="N32" s="313">
        <v>51804</v>
      </c>
      <c r="O32" s="313"/>
    </row>
    <row r="33" spans="1:15" x14ac:dyDescent="0.25">
      <c r="A33" s="60" t="s">
        <v>230</v>
      </c>
      <c r="B33" s="309">
        <v>90236</v>
      </c>
      <c r="C33" s="321">
        <v>42626</v>
      </c>
      <c r="D33" s="309">
        <v>23914</v>
      </c>
      <c r="E33" s="309">
        <v>-168</v>
      </c>
      <c r="F33" s="309">
        <v>33182</v>
      </c>
      <c r="G33" s="309">
        <v>26406</v>
      </c>
      <c r="H33" s="309">
        <v>44129</v>
      </c>
      <c r="I33" s="306">
        <v>-3275</v>
      </c>
      <c r="J33" s="306">
        <v>3647</v>
      </c>
      <c r="K33" s="306">
        <v>650</v>
      </c>
      <c r="L33" s="313">
        <v>1865</v>
      </c>
      <c r="M33" s="313">
        <v>1297</v>
      </c>
      <c r="N33" s="313">
        <v>1282</v>
      </c>
      <c r="O33" s="313"/>
    </row>
    <row r="34" spans="1:15" x14ac:dyDescent="0.25">
      <c r="A34" s="8"/>
      <c r="B34" s="326"/>
      <c r="C34" s="326"/>
      <c r="D34" s="327"/>
      <c r="E34" s="327"/>
      <c r="F34" s="327"/>
      <c r="G34" s="327"/>
      <c r="H34" s="328"/>
      <c r="I34" s="328"/>
      <c r="J34" s="328"/>
      <c r="K34" s="328"/>
      <c r="L34" s="328"/>
      <c r="M34" s="328"/>
      <c r="N34" s="328"/>
      <c r="O34" s="313"/>
    </row>
    <row r="35" spans="1:15" x14ac:dyDescent="0.25">
      <c r="A35" s="14" t="s">
        <v>366</v>
      </c>
      <c r="B35" s="270"/>
      <c r="C35" s="270"/>
      <c r="D35" s="318"/>
      <c r="E35" s="318"/>
      <c r="F35" s="318"/>
      <c r="G35" s="318"/>
      <c r="H35" s="309"/>
      <c r="I35" s="313"/>
      <c r="J35" s="313"/>
      <c r="K35" s="313"/>
      <c r="L35" s="313"/>
      <c r="M35" s="313"/>
      <c r="N35" s="313"/>
      <c r="O35" s="313"/>
    </row>
    <row r="36" spans="1:15" x14ac:dyDescent="0.25">
      <c r="A36" s="160" t="s">
        <v>367</v>
      </c>
      <c r="B36" s="329">
        <v>0.31</v>
      </c>
      <c r="C36" s="330">
        <v>0.23</v>
      </c>
      <c r="D36" s="329">
        <v>0.4</v>
      </c>
      <c r="E36" s="329">
        <v>0.31</v>
      </c>
      <c r="F36" s="329">
        <v>0.49</v>
      </c>
      <c r="G36" s="329">
        <v>0.35</v>
      </c>
      <c r="H36" s="329">
        <v>0.48</v>
      </c>
      <c r="I36" s="329">
        <v>0.27</v>
      </c>
      <c r="J36" s="329">
        <v>0.42</v>
      </c>
      <c r="K36" s="329">
        <v>0.25000000000000006</v>
      </c>
      <c r="L36" s="329">
        <v>0.41</v>
      </c>
      <c r="M36" s="329">
        <v>-1.44</v>
      </c>
      <c r="N36" s="329">
        <v>0</v>
      </c>
      <c r="O36" s="313"/>
    </row>
    <row r="37" spans="1:15" x14ac:dyDescent="0.25">
      <c r="F37" s="331"/>
      <c r="G37" s="331"/>
      <c r="H37" s="309"/>
    </row>
    <row r="38" spans="1:15" ht="15.75" x14ac:dyDescent="0.25">
      <c r="A38" s="276" t="s">
        <v>233</v>
      </c>
      <c r="B38" s="277"/>
      <c r="C38" s="277"/>
      <c r="D38" s="277"/>
      <c r="E38" s="277"/>
      <c r="F38" s="332"/>
      <c r="G38" s="332"/>
      <c r="H38" s="332"/>
      <c r="I38" s="332"/>
      <c r="J38" s="332"/>
      <c r="K38" s="332"/>
      <c r="L38" s="332"/>
      <c r="M38" s="332"/>
      <c r="N38" s="332"/>
    </row>
    <row r="39" spans="1:15" ht="25.5" x14ac:dyDescent="0.25">
      <c r="A39" s="110" t="s">
        <v>86</v>
      </c>
      <c r="B39" s="111" t="s">
        <v>370</v>
      </c>
      <c r="C39" s="111" t="s">
        <v>372</v>
      </c>
      <c r="D39" s="111" t="s">
        <v>374</v>
      </c>
      <c r="E39" s="250" t="s">
        <v>376</v>
      </c>
      <c r="F39" s="111" t="s">
        <v>378</v>
      </c>
      <c r="G39" s="250" t="s">
        <v>380</v>
      </c>
      <c r="H39" s="111" t="s">
        <v>493</v>
      </c>
      <c r="I39" s="250" t="s">
        <v>384</v>
      </c>
      <c r="J39" s="111" t="s">
        <v>386</v>
      </c>
      <c r="K39" s="250" t="s">
        <v>388</v>
      </c>
      <c r="L39" s="111" t="s">
        <v>390</v>
      </c>
      <c r="M39" s="111" t="s">
        <v>392</v>
      </c>
      <c r="N39" s="111" t="s">
        <v>532</v>
      </c>
    </row>
    <row r="40" spans="1:15" x14ac:dyDescent="0.25">
      <c r="A40" s="8" t="s">
        <v>236</v>
      </c>
      <c r="B40" s="178"/>
      <c r="C40" s="178"/>
      <c r="D40" s="23"/>
      <c r="E40" s="178"/>
      <c r="F40" s="23"/>
      <c r="G40" s="23"/>
      <c r="H40" s="333"/>
    </row>
    <row r="41" spans="1:15" x14ac:dyDescent="0.25">
      <c r="A41" s="8" t="s">
        <v>237</v>
      </c>
      <c r="B41" s="334"/>
      <c r="C41" s="335"/>
      <c r="D41" s="334"/>
      <c r="E41" s="334"/>
      <c r="F41" s="319"/>
      <c r="G41" s="319"/>
      <c r="H41" s="319"/>
    </row>
    <row r="42" spans="1:15" x14ac:dyDescent="0.25">
      <c r="A42" s="8" t="s">
        <v>238</v>
      </c>
      <c r="B42" s="309">
        <v>17123302</v>
      </c>
      <c r="C42" s="336">
        <v>17524936</v>
      </c>
      <c r="D42" s="309">
        <v>17600406</v>
      </c>
      <c r="E42" s="309">
        <v>21636317</v>
      </c>
      <c r="F42" s="309">
        <v>22298453</v>
      </c>
      <c r="G42" s="309">
        <v>23300643</v>
      </c>
      <c r="H42" s="309">
        <v>23575461</v>
      </c>
      <c r="I42" s="309">
        <v>25127639</v>
      </c>
      <c r="J42" s="309">
        <v>25446259</v>
      </c>
      <c r="K42" s="309">
        <v>24850942</v>
      </c>
      <c r="L42" s="309">
        <v>25738123</v>
      </c>
      <c r="M42" s="309">
        <v>24882817</v>
      </c>
      <c r="N42" s="371">
        <v>25066173</v>
      </c>
      <c r="O42" s="313"/>
    </row>
    <row r="43" spans="1:15" x14ac:dyDescent="0.25">
      <c r="A43" s="8" t="s">
        <v>239</v>
      </c>
      <c r="B43" s="386" t="s">
        <v>494</v>
      </c>
      <c r="C43" s="389" t="s">
        <v>397</v>
      </c>
      <c r="D43" s="386" t="s">
        <v>495</v>
      </c>
      <c r="E43" s="309">
        <v>247057</v>
      </c>
      <c r="F43" s="386" t="s">
        <v>496</v>
      </c>
      <c r="G43" s="309">
        <v>247057</v>
      </c>
      <c r="H43" s="386" t="s">
        <v>497</v>
      </c>
      <c r="I43" s="309">
        <v>247057</v>
      </c>
      <c r="J43" s="309">
        <v>247057</v>
      </c>
      <c r="K43" s="309">
        <v>195155</v>
      </c>
      <c r="L43" s="309">
        <v>195155</v>
      </c>
      <c r="M43" s="309">
        <v>92059</v>
      </c>
      <c r="N43" s="371">
        <v>40156</v>
      </c>
      <c r="O43" s="313"/>
    </row>
    <row r="44" spans="1:15" x14ac:dyDescent="0.25">
      <c r="A44" s="8" t="s">
        <v>410</v>
      </c>
      <c r="B44" s="382"/>
      <c r="C44" s="382"/>
      <c r="D44" s="382"/>
      <c r="E44" s="309">
        <v>1152617</v>
      </c>
      <c r="F44" s="382"/>
      <c r="G44" s="309">
        <v>1182256</v>
      </c>
      <c r="H44" s="382"/>
      <c r="I44" s="309">
        <v>1160005</v>
      </c>
      <c r="J44" s="309">
        <v>1262910</v>
      </c>
      <c r="K44" s="309">
        <v>1604634</v>
      </c>
      <c r="L44" s="309">
        <v>1271029</v>
      </c>
      <c r="M44" s="309">
        <v>1693605</v>
      </c>
      <c r="N44" s="371">
        <v>1292124</v>
      </c>
      <c r="O44" s="313"/>
    </row>
    <row r="45" spans="1:15" x14ac:dyDescent="0.25">
      <c r="A45" s="8" t="s">
        <v>408</v>
      </c>
      <c r="B45" s="309">
        <v>0</v>
      </c>
      <c r="C45" s="336">
        <v>764</v>
      </c>
      <c r="D45" s="309">
        <v>13223</v>
      </c>
      <c r="E45" s="309">
        <v>22717</v>
      </c>
      <c r="F45" s="309">
        <v>22046</v>
      </c>
      <c r="G45" s="309">
        <v>51986</v>
      </c>
      <c r="H45" s="309">
        <v>48079</v>
      </c>
      <c r="I45" s="309">
        <v>44398</v>
      </c>
      <c r="J45" s="309">
        <v>41286</v>
      </c>
      <c r="K45" s="309">
        <v>414584</v>
      </c>
      <c r="L45" s="309">
        <v>417429</v>
      </c>
      <c r="M45" s="309">
        <v>418127</v>
      </c>
      <c r="N45" s="371">
        <v>462202</v>
      </c>
      <c r="O45" s="313"/>
    </row>
    <row r="46" spans="1:15" x14ac:dyDescent="0.25">
      <c r="A46" s="8" t="s">
        <v>245</v>
      </c>
      <c r="B46" s="309">
        <v>208162</v>
      </c>
      <c r="C46" s="336">
        <v>177452</v>
      </c>
      <c r="D46" s="309">
        <v>185086</v>
      </c>
      <c r="E46" s="309">
        <v>193067</v>
      </c>
      <c r="F46" s="309">
        <v>271600</v>
      </c>
      <c r="G46" s="309">
        <v>305444</v>
      </c>
      <c r="H46" s="309">
        <v>377177</v>
      </c>
      <c r="I46" s="309">
        <v>587166</v>
      </c>
      <c r="J46" s="309">
        <v>358775</v>
      </c>
      <c r="K46" s="309">
        <v>377383</v>
      </c>
      <c r="L46" s="309">
        <v>401622</v>
      </c>
      <c r="M46" s="309">
        <v>433018</v>
      </c>
      <c r="N46" s="371">
        <v>463419</v>
      </c>
      <c r="O46" s="313"/>
    </row>
    <row r="47" spans="1:15" x14ac:dyDescent="0.25">
      <c r="A47" s="8" t="s">
        <v>246</v>
      </c>
      <c r="B47" s="309">
        <v>123597</v>
      </c>
      <c r="C47" s="336">
        <v>181832</v>
      </c>
      <c r="D47" s="309">
        <v>138413</v>
      </c>
      <c r="E47" s="309">
        <v>144923</v>
      </c>
      <c r="F47" s="309">
        <v>216155</v>
      </c>
      <c r="G47" s="309">
        <v>359709</v>
      </c>
      <c r="H47" s="309">
        <v>403902</v>
      </c>
      <c r="I47" s="309">
        <v>354704</v>
      </c>
      <c r="J47" s="309">
        <v>568819</v>
      </c>
      <c r="K47" s="309">
        <v>657943</v>
      </c>
      <c r="L47" s="309">
        <v>618471</v>
      </c>
      <c r="M47" s="309">
        <v>550375</v>
      </c>
      <c r="N47" s="371">
        <v>514318</v>
      </c>
      <c r="O47" s="313"/>
    </row>
    <row r="48" spans="1:15" x14ac:dyDescent="0.25">
      <c r="A48" s="186" t="s">
        <v>409</v>
      </c>
      <c r="B48" s="337">
        <v>126835</v>
      </c>
      <c r="C48" s="338">
        <v>163063</v>
      </c>
      <c r="D48" s="337">
        <v>158197</v>
      </c>
      <c r="E48" s="337">
        <v>20079</v>
      </c>
      <c r="F48" s="337">
        <v>25684</v>
      </c>
      <c r="G48" s="337">
        <v>24135</v>
      </c>
      <c r="H48" s="337">
        <v>40791</v>
      </c>
      <c r="I48" s="337">
        <v>46039</v>
      </c>
      <c r="J48" s="337">
        <v>28908</v>
      </c>
      <c r="K48" s="337">
        <v>62108</v>
      </c>
      <c r="L48" s="337">
        <v>49650</v>
      </c>
      <c r="M48" s="337">
        <v>54184</v>
      </c>
      <c r="N48" s="337">
        <v>65730</v>
      </c>
      <c r="O48" s="313"/>
    </row>
    <row r="49" spans="1:15" x14ac:dyDescent="0.25">
      <c r="A49" s="281"/>
      <c r="B49" s="325">
        <v>18242724</v>
      </c>
      <c r="C49" s="325">
        <v>18394387</v>
      </c>
      <c r="D49" s="325">
        <v>18961611</v>
      </c>
      <c r="E49" s="321">
        <v>23416777</v>
      </c>
      <c r="F49" s="325">
        <v>23849197</v>
      </c>
      <c r="G49" s="325">
        <v>25471230</v>
      </c>
      <c r="H49" s="325">
        <v>25933097</v>
      </c>
      <c r="I49" s="325">
        <v>27567008</v>
      </c>
      <c r="J49" s="325">
        <v>27954014</v>
      </c>
      <c r="K49" s="325">
        <v>28162749</v>
      </c>
      <c r="L49" s="325">
        <v>28691479</v>
      </c>
      <c r="M49" s="325">
        <v>28124185</v>
      </c>
      <c r="N49" s="325">
        <v>27904122</v>
      </c>
      <c r="O49" s="313"/>
    </row>
    <row r="50" spans="1:15" x14ac:dyDescent="0.25">
      <c r="A50" s="20" t="s">
        <v>250</v>
      </c>
      <c r="B50" s="309"/>
      <c r="C50" s="321"/>
      <c r="D50" s="309"/>
      <c r="E50" s="309"/>
      <c r="F50" s="309"/>
      <c r="G50" s="309"/>
      <c r="H50" s="309"/>
      <c r="I50" s="309"/>
      <c r="J50" s="309"/>
      <c r="K50" s="313"/>
      <c r="L50" s="309"/>
      <c r="M50" s="309"/>
      <c r="N50" s="371"/>
      <c r="O50" s="313"/>
    </row>
    <row r="51" spans="1:15" x14ac:dyDescent="0.25">
      <c r="A51" s="20" t="s">
        <v>410</v>
      </c>
      <c r="B51" s="339" t="s">
        <v>361</v>
      </c>
      <c r="C51" s="340">
        <v>624190</v>
      </c>
      <c r="D51" s="341" t="s">
        <v>361</v>
      </c>
      <c r="E51" s="342">
        <v>870954</v>
      </c>
      <c r="F51" s="309">
        <v>668742</v>
      </c>
      <c r="G51" s="309">
        <v>711099</v>
      </c>
      <c r="H51" s="309">
        <v>429828</v>
      </c>
      <c r="I51" s="309">
        <v>1156550</v>
      </c>
      <c r="J51" s="309">
        <v>504066</v>
      </c>
      <c r="K51" s="309">
        <v>733048</v>
      </c>
      <c r="L51" s="309">
        <v>646617</v>
      </c>
      <c r="M51" s="309">
        <v>805388</v>
      </c>
      <c r="N51" s="371">
        <v>648516</v>
      </c>
      <c r="O51" s="313"/>
    </row>
    <row r="52" spans="1:15" x14ac:dyDescent="0.25">
      <c r="A52" s="20" t="s">
        <v>252</v>
      </c>
      <c r="B52" s="309">
        <v>439363</v>
      </c>
      <c r="C52" s="321">
        <v>408560</v>
      </c>
      <c r="D52" s="309">
        <v>388935</v>
      </c>
      <c r="E52" s="309">
        <v>574790</v>
      </c>
      <c r="F52" s="309">
        <v>532534</v>
      </c>
      <c r="G52" s="309">
        <v>708282</v>
      </c>
      <c r="H52" s="309">
        <v>464339</v>
      </c>
      <c r="I52" s="309">
        <v>509224</v>
      </c>
      <c r="J52" s="309">
        <v>474560</v>
      </c>
      <c r="K52" s="309">
        <v>527596</v>
      </c>
      <c r="L52" s="309">
        <v>404450</v>
      </c>
      <c r="M52" s="309">
        <v>433279</v>
      </c>
      <c r="N52" s="371">
        <v>404983</v>
      </c>
      <c r="O52" s="313"/>
    </row>
    <row r="53" spans="1:15" x14ac:dyDescent="0.25">
      <c r="A53" s="20" t="s">
        <v>411</v>
      </c>
      <c r="B53" s="309">
        <v>43485</v>
      </c>
      <c r="C53" s="321">
        <v>74749</v>
      </c>
      <c r="D53" s="309">
        <v>14991</v>
      </c>
      <c r="E53" s="309">
        <v>64266</v>
      </c>
      <c r="F53" s="309">
        <v>78389</v>
      </c>
      <c r="G53" s="309">
        <v>1434</v>
      </c>
      <c r="H53" s="309">
        <v>23188</v>
      </c>
      <c r="I53" s="309">
        <v>31890</v>
      </c>
      <c r="J53" s="309">
        <v>92261</v>
      </c>
      <c r="K53" s="309">
        <v>26489</v>
      </c>
      <c r="L53" s="309">
        <v>53805</v>
      </c>
      <c r="M53" s="309">
        <v>909</v>
      </c>
      <c r="N53" s="371">
        <v>27726</v>
      </c>
      <c r="O53" s="313"/>
    </row>
    <row r="54" spans="1:15" x14ac:dyDescent="0.25">
      <c r="A54" s="20" t="s">
        <v>412</v>
      </c>
      <c r="B54" s="309">
        <v>2008653</v>
      </c>
      <c r="C54" s="321">
        <v>2273145</v>
      </c>
      <c r="D54" s="309">
        <v>2422059</v>
      </c>
      <c r="E54" s="309">
        <v>2743344</v>
      </c>
      <c r="F54" s="309">
        <v>2815297</v>
      </c>
      <c r="G54" s="309">
        <v>3036695</v>
      </c>
      <c r="H54" s="309">
        <v>2585447</v>
      </c>
      <c r="I54" s="309">
        <v>2134641</v>
      </c>
      <c r="J54" s="309">
        <v>1933061</v>
      </c>
      <c r="K54" s="309">
        <v>1969169</v>
      </c>
      <c r="L54" s="309">
        <v>1879766</v>
      </c>
      <c r="M54" s="309">
        <v>1854595</v>
      </c>
      <c r="N54" s="371">
        <v>1864857</v>
      </c>
      <c r="O54" s="313"/>
    </row>
    <row r="55" spans="1:15" x14ac:dyDescent="0.25">
      <c r="A55" s="20" t="s">
        <v>245</v>
      </c>
      <c r="B55" s="309">
        <v>42320</v>
      </c>
      <c r="C55" s="321">
        <v>28193</v>
      </c>
      <c r="D55" s="309">
        <v>9745</v>
      </c>
      <c r="E55" s="309">
        <v>108024</v>
      </c>
      <c r="F55" s="309">
        <v>9070</v>
      </c>
      <c r="G55" s="309">
        <v>5422</v>
      </c>
      <c r="H55" s="309">
        <v>11180</v>
      </c>
      <c r="I55" s="309">
        <v>15878</v>
      </c>
      <c r="J55" s="309">
        <v>16510</v>
      </c>
      <c r="K55" s="309">
        <v>27539</v>
      </c>
      <c r="L55" s="309">
        <v>6359</v>
      </c>
      <c r="M55" s="309">
        <v>9772</v>
      </c>
      <c r="N55" s="371">
        <v>83558</v>
      </c>
      <c r="O55" s="313"/>
    </row>
    <row r="56" spans="1:15" x14ac:dyDescent="0.25">
      <c r="A56" s="20" t="s">
        <v>246</v>
      </c>
      <c r="B56" s="309">
        <v>185158</v>
      </c>
      <c r="C56" s="321">
        <v>145361</v>
      </c>
      <c r="D56" s="309">
        <v>226633</v>
      </c>
      <c r="E56" s="309">
        <v>234220</v>
      </c>
      <c r="F56" s="309">
        <v>296724</v>
      </c>
      <c r="G56" s="309">
        <v>272371</v>
      </c>
      <c r="H56" s="309">
        <v>294057</v>
      </c>
      <c r="I56" s="309">
        <v>270429</v>
      </c>
      <c r="J56" s="309">
        <v>342953</v>
      </c>
      <c r="K56" s="309">
        <v>353989</v>
      </c>
      <c r="L56" s="309">
        <v>380516</v>
      </c>
      <c r="M56" s="309">
        <v>460495</v>
      </c>
      <c r="N56" s="371">
        <v>292654</v>
      </c>
      <c r="O56" s="313"/>
    </row>
    <row r="57" spans="1:15" x14ac:dyDescent="0.25">
      <c r="A57" s="20" t="s">
        <v>256</v>
      </c>
      <c r="B57" s="325">
        <v>1049221</v>
      </c>
      <c r="C57" s="321">
        <v>1473981</v>
      </c>
      <c r="D57" s="325">
        <v>1376104</v>
      </c>
      <c r="E57" s="325">
        <v>505670</v>
      </c>
      <c r="F57" s="325">
        <v>705020</v>
      </c>
      <c r="G57" s="325">
        <v>1030929</v>
      </c>
      <c r="H57" s="325">
        <v>912712</v>
      </c>
      <c r="I57" s="325">
        <v>636909</v>
      </c>
      <c r="J57" s="325">
        <v>246144</v>
      </c>
      <c r="K57" s="325">
        <v>1420909</v>
      </c>
      <c r="L57" s="309">
        <v>915135</v>
      </c>
      <c r="M57" s="309">
        <v>364912</v>
      </c>
      <c r="N57" s="371">
        <v>422123</v>
      </c>
      <c r="O57" s="313"/>
    </row>
    <row r="58" spans="1:15" x14ac:dyDescent="0.25">
      <c r="A58" s="343" t="s">
        <v>413</v>
      </c>
      <c r="B58" s="337">
        <v>5778</v>
      </c>
      <c r="C58" s="338">
        <v>4397</v>
      </c>
      <c r="D58" s="337">
        <v>4397</v>
      </c>
      <c r="E58" s="337">
        <v>8951</v>
      </c>
      <c r="F58" s="337">
        <v>13133</v>
      </c>
      <c r="G58" s="337">
        <v>36215</v>
      </c>
      <c r="H58" s="337">
        <v>35833</v>
      </c>
      <c r="I58" s="337">
        <v>33041</v>
      </c>
      <c r="J58" s="337">
        <v>13668</v>
      </c>
      <c r="K58" s="337">
        <v>1337705</v>
      </c>
      <c r="L58" s="337">
        <v>1343947</v>
      </c>
      <c r="M58" s="325">
        <v>17898</v>
      </c>
      <c r="N58" s="325">
        <v>13283</v>
      </c>
      <c r="O58" s="313"/>
    </row>
    <row r="59" spans="1:15" x14ac:dyDescent="0.25">
      <c r="A59" s="8"/>
      <c r="B59" s="309">
        <f>3768200+B58</f>
        <v>3773978</v>
      </c>
      <c r="C59" s="336">
        <f>5028179+C58</f>
        <v>5032576</v>
      </c>
      <c r="D59" s="309">
        <f>4438467+D58</f>
        <v>4442864</v>
      </c>
      <c r="E59" s="336">
        <f>5101268+E58</f>
        <v>5110219</v>
      </c>
      <c r="F59" s="309">
        <f>5105776+F58</f>
        <v>5118909</v>
      </c>
      <c r="G59" s="309">
        <f>5766232+G58</f>
        <v>5802447</v>
      </c>
      <c r="H59" s="309">
        <f>4720751+H58</f>
        <v>4756584</v>
      </c>
      <c r="I59" s="309">
        <f>4755521+I58</f>
        <v>4788562</v>
      </c>
      <c r="J59" s="309">
        <f>3609555+J58</f>
        <v>3623223</v>
      </c>
      <c r="K59" s="309">
        <v>6396444</v>
      </c>
      <c r="L59" s="309">
        <v>5630595</v>
      </c>
      <c r="M59" s="344">
        <v>3947248</v>
      </c>
      <c r="N59" s="344">
        <v>3757700</v>
      </c>
      <c r="O59" s="313"/>
    </row>
    <row r="60" spans="1:15" x14ac:dyDescent="0.25">
      <c r="A60" s="8"/>
      <c r="B60" s="23"/>
      <c r="C60" s="171"/>
      <c r="D60" s="23"/>
      <c r="E60" s="178"/>
      <c r="F60" s="23"/>
      <c r="G60" s="23"/>
      <c r="H60" s="309"/>
      <c r="I60" s="23"/>
      <c r="J60" s="23"/>
      <c r="K60" s="23"/>
      <c r="L60" s="309"/>
      <c r="M60" s="309"/>
      <c r="N60" s="371"/>
      <c r="O60" s="313"/>
    </row>
    <row r="61" spans="1:15" x14ac:dyDescent="0.25">
      <c r="A61" s="92" t="s">
        <v>258</v>
      </c>
      <c r="B61" s="328">
        <v>22016702</v>
      </c>
      <c r="C61" s="345">
        <v>23426963</v>
      </c>
      <c r="D61" s="328">
        <v>23404475</v>
      </c>
      <c r="E61" s="345">
        <v>28526996</v>
      </c>
      <c r="F61" s="328">
        <v>28968106</v>
      </c>
      <c r="G61" s="328">
        <v>31273677</v>
      </c>
      <c r="H61" s="328">
        <v>30689681</v>
      </c>
      <c r="I61" s="328">
        <v>32355570</v>
      </c>
      <c r="J61" s="328">
        <v>31577237</v>
      </c>
      <c r="K61" s="328">
        <v>34559193</v>
      </c>
      <c r="L61" s="328">
        <v>34322074</v>
      </c>
      <c r="M61" s="328">
        <v>32071433</v>
      </c>
      <c r="N61" s="328">
        <v>31661822</v>
      </c>
      <c r="O61" s="313"/>
    </row>
    <row r="62" spans="1:15" x14ac:dyDescent="0.25">
      <c r="A62" s="8"/>
      <c r="B62" s="178"/>
      <c r="C62" s="178"/>
      <c r="D62" s="23"/>
      <c r="E62" s="178"/>
      <c r="F62" s="23"/>
      <c r="G62" s="23"/>
      <c r="H62" s="328"/>
      <c r="I62" s="328"/>
      <c r="J62" s="328"/>
      <c r="K62" s="328"/>
      <c r="L62" s="328"/>
      <c r="M62" s="328"/>
      <c r="N62" s="328"/>
      <c r="O62" s="313"/>
    </row>
    <row r="63" spans="1:15" x14ac:dyDescent="0.25">
      <c r="A63" s="14" t="s">
        <v>259</v>
      </c>
      <c r="B63" s="169"/>
      <c r="C63" s="169"/>
      <c r="D63" s="289"/>
      <c r="E63" s="169"/>
      <c r="F63" s="289"/>
      <c r="G63" s="289"/>
      <c r="H63" s="309"/>
      <c r="J63" s="313"/>
      <c r="K63" s="313"/>
      <c r="L63" s="313"/>
      <c r="M63" s="313"/>
      <c r="N63" s="313"/>
      <c r="O63" s="313"/>
    </row>
    <row r="64" spans="1:15" x14ac:dyDescent="0.25">
      <c r="A64" s="20" t="s">
        <v>260</v>
      </c>
      <c r="B64" s="334"/>
      <c r="C64" s="346"/>
      <c r="D64" s="334"/>
      <c r="E64" s="334"/>
      <c r="F64" s="319"/>
      <c r="G64" s="319"/>
      <c r="H64" s="319"/>
      <c r="J64" s="313"/>
      <c r="K64" s="313"/>
      <c r="L64" s="313"/>
      <c r="M64" s="313"/>
      <c r="N64" s="313"/>
      <c r="O64" s="313"/>
    </row>
    <row r="65" spans="1:15" x14ac:dyDescent="0.25">
      <c r="A65" s="20" t="s">
        <v>261</v>
      </c>
      <c r="B65" s="309">
        <v>14304949</v>
      </c>
      <c r="C65" s="321">
        <v>15772945</v>
      </c>
      <c r="D65" s="309">
        <v>8762747</v>
      </c>
      <c r="E65" s="309">
        <v>8762747</v>
      </c>
      <c r="F65" s="309">
        <v>8762747</v>
      </c>
      <c r="G65" s="309">
        <v>8762747</v>
      </c>
      <c r="H65" s="309">
        <v>8762747</v>
      </c>
      <c r="I65" s="309">
        <v>8762747</v>
      </c>
      <c r="J65" s="309">
        <v>8762747</v>
      </c>
      <c r="K65" s="309">
        <v>8762747</v>
      </c>
      <c r="L65" s="309">
        <v>8762747</v>
      </c>
      <c r="M65" s="309">
        <v>8762747</v>
      </c>
      <c r="N65" s="371">
        <v>8762747</v>
      </c>
      <c r="O65" s="313"/>
    </row>
    <row r="66" spans="1:15" x14ac:dyDescent="0.25">
      <c r="A66" s="20" t="s">
        <v>263</v>
      </c>
      <c r="B66" s="309">
        <v>240209</v>
      </c>
      <c r="C66" s="321">
        <v>475088</v>
      </c>
      <c r="D66" s="309">
        <v>7412882</v>
      </c>
      <c r="E66" s="309">
        <v>7412882</v>
      </c>
      <c r="F66" s="309">
        <v>7953021</v>
      </c>
      <c r="G66" s="309">
        <v>7953021</v>
      </c>
      <c r="H66" s="309">
        <v>9037699</v>
      </c>
      <c r="I66" s="309">
        <v>9037699</v>
      </c>
      <c r="J66" s="309">
        <v>10393686</v>
      </c>
      <c r="K66" s="309">
        <v>10393686</v>
      </c>
      <c r="L66" s="309">
        <v>11277247</v>
      </c>
      <c r="M66" s="309">
        <v>11277247</v>
      </c>
      <c r="N66" s="371">
        <v>7823339</v>
      </c>
      <c r="O66" s="313"/>
    </row>
    <row r="67" spans="1:15" x14ac:dyDescent="0.25">
      <c r="A67" s="20" t="s">
        <v>264</v>
      </c>
      <c r="B67" s="309">
        <v>-6195</v>
      </c>
      <c r="C67" s="321">
        <v>0</v>
      </c>
      <c r="D67" s="309">
        <v>0</v>
      </c>
      <c r="E67" s="309">
        <v>0</v>
      </c>
      <c r="F67" s="309">
        <v>-32514</v>
      </c>
      <c r="G67" s="309">
        <v>-153703</v>
      </c>
      <c r="H67" s="309">
        <v>-123859</v>
      </c>
      <c r="I67" s="309">
        <v>-126651</v>
      </c>
      <c r="J67" s="309">
        <v>-144845</v>
      </c>
      <c r="K67" s="309">
        <v>-143019</v>
      </c>
      <c r="L67" s="309">
        <v>-103630</v>
      </c>
      <c r="M67" s="309">
        <v>-73414</v>
      </c>
      <c r="N67" s="371">
        <v>-33849</v>
      </c>
      <c r="O67" s="313"/>
    </row>
    <row r="68" spans="1:15" x14ac:dyDescent="0.25">
      <c r="A68" s="20" t="s">
        <v>414</v>
      </c>
      <c r="B68" s="309">
        <v>0</v>
      </c>
      <c r="C68" s="321">
        <v>0</v>
      </c>
      <c r="D68" s="309">
        <v>0</v>
      </c>
      <c r="E68" s="309">
        <v>0</v>
      </c>
      <c r="F68" s="309">
        <v>9226</v>
      </c>
      <c r="G68" s="309">
        <v>0</v>
      </c>
      <c r="H68" s="309">
        <v>0</v>
      </c>
      <c r="I68" s="309">
        <v>0</v>
      </c>
      <c r="J68" s="309">
        <v>0</v>
      </c>
      <c r="K68" s="309">
        <v>0</v>
      </c>
      <c r="L68" s="309">
        <v>0</v>
      </c>
      <c r="M68" s="309">
        <v>0</v>
      </c>
      <c r="N68" s="371">
        <v>0</v>
      </c>
      <c r="O68" s="313"/>
    </row>
    <row r="69" spans="1:15" x14ac:dyDescent="0.25">
      <c r="A69" s="20" t="s">
        <v>220</v>
      </c>
      <c r="B69" s="309">
        <v>0</v>
      </c>
      <c r="C69" s="321">
        <v>-271</v>
      </c>
      <c r="D69" s="309">
        <v>-120</v>
      </c>
      <c r="E69" s="309">
        <v>87</v>
      </c>
      <c r="F69" s="309">
        <v>-164</v>
      </c>
      <c r="G69" s="309">
        <v>-370</v>
      </c>
      <c r="H69" s="309">
        <v>-11</v>
      </c>
      <c r="I69" s="309">
        <v>-1631</v>
      </c>
      <c r="J69" s="309">
        <v>-1590</v>
      </c>
      <c r="K69" s="309">
        <v>-1386</v>
      </c>
      <c r="L69" s="309">
        <v>-1358</v>
      </c>
      <c r="M69" s="309">
        <v>-791</v>
      </c>
      <c r="N69" s="371">
        <v>9131</v>
      </c>
      <c r="O69" s="313"/>
    </row>
    <row r="70" spans="1:15" x14ac:dyDescent="0.25">
      <c r="A70" s="25" t="s">
        <v>415</v>
      </c>
      <c r="B70" s="337">
        <v>-2031013</v>
      </c>
      <c r="C70" s="338">
        <v>-1641605</v>
      </c>
      <c r="D70" s="337">
        <v>-1018094</v>
      </c>
      <c r="E70" s="337">
        <v>-481414</v>
      </c>
      <c r="F70" s="337">
        <v>-728008</v>
      </c>
      <c r="G70" s="337">
        <v>-255014</v>
      </c>
      <c r="H70" s="337">
        <v>-909855</v>
      </c>
      <c r="I70" s="337">
        <v>-344999</v>
      </c>
      <c r="J70" s="337">
        <v>-1216944</v>
      </c>
      <c r="K70" s="337">
        <v>-1045580</v>
      </c>
      <c r="L70" s="337">
        <v>-1472252</v>
      </c>
      <c r="M70" s="325">
        <v>-3947461</v>
      </c>
      <c r="N70" s="325">
        <v>-505261</v>
      </c>
      <c r="O70" s="313"/>
    </row>
    <row r="71" spans="1:15" x14ac:dyDescent="0.25">
      <c r="A71" s="8"/>
      <c r="B71" s="309">
        <v>12507950</v>
      </c>
      <c r="C71" s="336">
        <v>14606157</v>
      </c>
      <c r="D71" s="309">
        <v>15157415</v>
      </c>
      <c r="E71" s="309">
        <v>15694302</v>
      </c>
      <c r="F71" s="309">
        <v>15964308</v>
      </c>
      <c r="G71" s="309">
        <v>16306681</v>
      </c>
      <c r="H71" s="309">
        <v>16766721</v>
      </c>
      <c r="I71" s="309">
        <v>17327165</v>
      </c>
      <c r="J71" s="309">
        <v>17793054</v>
      </c>
      <c r="K71" s="309">
        <v>17966448</v>
      </c>
      <c r="L71" s="309">
        <v>18462754</v>
      </c>
      <c r="M71" s="344">
        <v>16018328</v>
      </c>
      <c r="N71" s="344">
        <v>16056107</v>
      </c>
      <c r="O71" s="313"/>
    </row>
    <row r="72" spans="1:15" x14ac:dyDescent="0.25">
      <c r="A72" s="8"/>
      <c r="B72" s="23"/>
      <c r="C72" s="178"/>
      <c r="D72" s="23"/>
      <c r="E72" s="23"/>
      <c r="F72" s="23"/>
      <c r="G72" s="309"/>
      <c r="H72" s="309"/>
      <c r="I72" s="309"/>
      <c r="J72" s="309"/>
      <c r="K72" s="309"/>
      <c r="L72" s="309">
        <v>0</v>
      </c>
      <c r="M72" s="309">
        <v>0</v>
      </c>
      <c r="N72" s="371"/>
      <c r="O72" s="313"/>
    </row>
    <row r="73" spans="1:15" x14ac:dyDescent="0.25">
      <c r="A73" s="8" t="s">
        <v>267</v>
      </c>
      <c r="B73" s="309">
        <v>2289945</v>
      </c>
      <c r="C73" s="336">
        <v>496279</v>
      </c>
      <c r="D73" s="309">
        <v>479419</v>
      </c>
      <c r="E73" s="309">
        <v>455203</v>
      </c>
      <c r="F73" s="309">
        <v>474902</v>
      </c>
      <c r="G73" s="309">
        <v>493339</v>
      </c>
      <c r="H73" s="309">
        <v>526444</v>
      </c>
      <c r="I73" s="309">
        <v>466334</v>
      </c>
      <c r="J73" s="309">
        <v>29574</v>
      </c>
      <c r="K73" s="309">
        <v>30116</v>
      </c>
      <c r="L73" s="309">
        <v>29040</v>
      </c>
      <c r="M73" s="309">
        <v>29829</v>
      </c>
      <c r="N73" s="372">
        <v>28016</v>
      </c>
      <c r="O73" s="313"/>
    </row>
    <row r="74" spans="1:15" x14ac:dyDescent="0.25">
      <c r="A74" s="8"/>
      <c r="B74" s="309"/>
      <c r="C74" s="336"/>
      <c r="D74" s="309"/>
      <c r="E74" s="309"/>
      <c r="F74" s="309"/>
      <c r="G74" s="309"/>
      <c r="H74" s="309"/>
      <c r="I74" s="309"/>
      <c r="J74" s="309"/>
      <c r="K74" s="309"/>
      <c r="L74" s="309">
        <v>0</v>
      </c>
      <c r="M74" s="309">
        <v>0</v>
      </c>
      <c r="N74" s="371"/>
      <c r="O74" s="313"/>
    </row>
    <row r="75" spans="1:15" x14ac:dyDescent="0.25">
      <c r="A75" s="37" t="s">
        <v>268</v>
      </c>
      <c r="B75" s="328">
        <v>14797895</v>
      </c>
      <c r="C75" s="345">
        <v>15102436</v>
      </c>
      <c r="D75" s="328">
        <v>15636834</v>
      </c>
      <c r="E75" s="328">
        <v>16149505</v>
      </c>
      <c r="F75" s="328">
        <v>16439210</v>
      </c>
      <c r="G75" s="328">
        <v>16800020</v>
      </c>
      <c r="H75" s="328">
        <v>17293165</v>
      </c>
      <c r="I75" s="328">
        <v>17793499</v>
      </c>
      <c r="J75" s="328">
        <v>17822628</v>
      </c>
      <c r="K75" s="328">
        <v>17996564</v>
      </c>
      <c r="L75" s="328">
        <v>18491794</v>
      </c>
      <c r="M75" s="328">
        <v>16048157</v>
      </c>
      <c r="N75" s="328">
        <v>16084123</v>
      </c>
      <c r="O75" s="313"/>
    </row>
    <row r="76" spans="1:15" x14ac:dyDescent="0.25">
      <c r="A76" s="8"/>
      <c r="B76" s="347"/>
      <c r="C76" s="260"/>
      <c r="D76" s="347"/>
      <c r="E76" s="260"/>
      <c r="F76" s="347"/>
      <c r="G76" s="347"/>
      <c r="H76" s="328"/>
      <c r="I76" s="328"/>
      <c r="J76" s="328"/>
      <c r="K76" s="328"/>
      <c r="L76" s="328">
        <v>0</v>
      </c>
      <c r="M76" s="328">
        <v>0</v>
      </c>
      <c r="N76" s="328"/>
      <c r="O76" s="313"/>
    </row>
    <row r="77" spans="1:15" x14ac:dyDescent="0.25">
      <c r="A77" s="14" t="s">
        <v>269</v>
      </c>
      <c r="B77" s="334"/>
      <c r="C77" s="346"/>
      <c r="D77" s="334"/>
      <c r="E77" s="334"/>
      <c r="F77" s="319"/>
      <c r="G77" s="319"/>
      <c r="H77" s="319"/>
      <c r="I77" s="319"/>
      <c r="J77" s="313"/>
      <c r="K77" s="313"/>
      <c r="L77" s="313">
        <v>0</v>
      </c>
      <c r="M77" s="313">
        <v>0</v>
      </c>
      <c r="N77" s="313"/>
      <c r="O77" s="313"/>
    </row>
    <row r="78" spans="1:15" ht="15.75" x14ac:dyDescent="0.25">
      <c r="A78" s="20" t="s">
        <v>416</v>
      </c>
      <c r="B78" s="309">
        <v>989098</v>
      </c>
      <c r="C78" s="321">
        <v>1076178</v>
      </c>
      <c r="D78" s="309">
        <v>1045564</v>
      </c>
      <c r="E78" s="309">
        <v>4251944</v>
      </c>
      <c r="F78" s="309">
        <v>4883367</v>
      </c>
      <c r="G78" s="309">
        <v>5222882</v>
      </c>
      <c r="H78" s="309">
        <v>5606826</v>
      </c>
      <c r="I78" s="309">
        <v>5500532</v>
      </c>
      <c r="J78" s="309">
        <v>6005603</v>
      </c>
      <c r="K78" s="309">
        <v>7422332</v>
      </c>
      <c r="L78" s="309">
        <v>7367670</v>
      </c>
      <c r="M78" s="348">
        <v>4890404</v>
      </c>
      <c r="N78" s="348">
        <v>7727666</v>
      </c>
      <c r="O78" s="313"/>
    </row>
    <row r="79" spans="1:15" ht="15.75" x14ac:dyDescent="0.25">
      <c r="A79" s="20" t="s">
        <v>417</v>
      </c>
      <c r="B79" s="309">
        <v>75115</v>
      </c>
      <c r="C79" s="321">
        <v>67810</v>
      </c>
      <c r="D79" s="309">
        <v>61246</v>
      </c>
      <c r="E79" s="309">
        <v>56232</v>
      </c>
      <c r="F79" s="309">
        <v>48780</v>
      </c>
      <c r="G79" s="309">
        <v>41796</v>
      </c>
      <c r="H79" s="309">
        <v>34874</v>
      </c>
      <c r="I79" s="309">
        <v>61643</v>
      </c>
      <c r="J79" s="309">
        <v>52858</v>
      </c>
      <c r="K79" s="309">
        <v>46443</v>
      </c>
      <c r="L79" s="309">
        <v>39652</v>
      </c>
      <c r="M79" s="348">
        <v>33723</v>
      </c>
      <c r="N79" s="348">
        <v>26661</v>
      </c>
      <c r="O79" s="313"/>
    </row>
    <row r="80" spans="1:15" ht="15.75" x14ac:dyDescent="0.25">
      <c r="A80" s="20" t="s">
        <v>418</v>
      </c>
      <c r="B80" s="309">
        <v>8041</v>
      </c>
      <c r="C80" s="321">
        <v>6910</v>
      </c>
      <c r="D80" s="309">
        <v>6213</v>
      </c>
      <c r="E80" s="309">
        <v>7968</v>
      </c>
      <c r="F80" s="309">
        <v>7197</v>
      </c>
      <c r="G80" s="309">
        <v>7890</v>
      </c>
      <c r="H80" s="309">
        <v>9180</v>
      </c>
      <c r="I80" s="309">
        <v>7827</v>
      </c>
      <c r="J80" s="309">
        <v>46841</v>
      </c>
      <c r="K80" s="309">
        <v>48986</v>
      </c>
      <c r="L80" s="309">
        <v>64058</v>
      </c>
      <c r="M80" s="348">
        <v>86549</v>
      </c>
      <c r="N80" s="348">
        <v>47775</v>
      </c>
      <c r="O80" s="313"/>
    </row>
    <row r="81" spans="1:15" ht="15.75" x14ac:dyDescent="0.25">
      <c r="A81" s="20" t="s">
        <v>419</v>
      </c>
      <c r="B81" s="341" t="s">
        <v>420</v>
      </c>
      <c r="C81" s="321">
        <v>0</v>
      </c>
      <c r="D81" s="341" t="s">
        <v>420</v>
      </c>
      <c r="E81" s="321">
        <v>0</v>
      </c>
      <c r="F81" s="341" t="s">
        <v>420</v>
      </c>
      <c r="G81" s="309">
        <v>150594</v>
      </c>
      <c r="H81" s="309">
        <v>83862</v>
      </c>
      <c r="I81" s="309">
        <v>87573</v>
      </c>
      <c r="J81" s="309">
        <v>103198</v>
      </c>
      <c r="K81" s="309">
        <v>93501</v>
      </c>
      <c r="L81" s="309">
        <v>93800</v>
      </c>
      <c r="M81" s="348">
        <v>15156</v>
      </c>
      <c r="N81" s="348">
        <v>12</v>
      </c>
      <c r="O81" s="313"/>
    </row>
    <row r="82" spans="1:15" ht="15.75" x14ac:dyDescent="0.25">
      <c r="A82" s="20" t="s">
        <v>271</v>
      </c>
      <c r="B82" s="387" t="s">
        <v>422</v>
      </c>
      <c r="C82" s="340">
        <v>1158941</v>
      </c>
      <c r="D82" s="387" t="s">
        <v>425</v>
      </c>
      <c r="E82" s="342">
        <v>1203375</v>
      </c>
      <c r="F82" s="387" t="s">
        <v>428</v>
      </c>
      <c r="G82" s="309">
        <v>1568219</v>
      </c>
      <c r="H82" s="309">
        <v>1543852</v>
      </c>
      <c r="I82" s="309">
        <v>1497814</v>
      </c>
      <c r="J82" s="309">
        <v>1494542</v>
      </c>
      <c r="K82" s="309">
        <v>1948323</v>
      </c>
      <c r="L82" s="309">
        <v>1940365</v>
      </c>
      <c r="M82" s="348">
        <v>1735206</v>
      </c>
      <c r="N82" s="348">
        <v>1767471</v>
      </c>
      <c r="O82" s="313"/>
    </row>
    <row r="83" spans="1:15" ht="15.75" x14ac:dyDescent="0.25">
      <c r="A83" s="20" t="s">
        <v>430</v>
      </c>
      <c r="B83" s="388"/>
      <c r="C83" s="321">
        <v>30861</v>
      </c>
      <c r="D83" s="388"/>
      <c r="E83" s="309">
        <v>61200</v>
      </c>
      <c r="F83" s="388"/>
      <c r="G83" s="309">
        <v>82523</v>
      </c>
      <c r="H83" s="309">
        <v>84558</v>
      </c>
      <c r="I83" s="309">
        <v>141408</v>
      </c>
      <c r="J83" s="309">
        <v>140542</v>
      </c>
      <c r="K83" s="309">
        <v>165278</v>
      </c>
      <c r="L83" s="309">
        <v>166795</v>
      </c>
      <c r="M83" s="348">
        <v>377372</v>
      </c>
      <c r="N83" s="348">
        <v>442561</v>
      </c>
      <c r="O83" s="313"/>
    </row>
    <row r="84" spans="1:15" ht="15.75" x14ac:dyDescent="0.25">
      <c r="A84" s="20" t="s">
        <v>273</v>
      </c>
      <c r="B84" s="309">
        <v>610845</v>
      </c>
      <c r="C84" s="321">
        <v>644522</v>
      </c>
      <c r="D84" s="309">
        <v>637279</v>
      </c>
      <c r="E84" s="309">
        <v>569562</v>
      </c>
      <c r="F84" s="309">
        <v>630731</v>
      </c>
      <c r="G84" s="309">
        <v>639643</v>
      </c>
      <c r="H84" s="309">
        <v>729055</v>
      </c>
      <c r="I84" s="309">
        <v>668487</v>
      </c>
      <c r="J84" s="309">
        <v>680537</v>
      </c>
      <c r="K84" s="309">
        <v>662072</v>
      </c>
      <c r="L84" s="309">
        <v>643584</v>
      </c>
      <c r="M84" s="348">
        <v>650364</v>
      </c>
      <c r="N84" s="348">
        <v>642503</v>
      </c>
      <c r="O84" s="313"/>
    </row>
    <row r="85" spans="1:15" ht="15.75" x14ac:dyDescent="0.25">
      <c r="A85" s="186" t="s">
        <v>498</v>
      </c>
      <c r="B85" s="337">
        <v>1183700</v>
      </c>
      <c r="C85" s="338">
        <v>1191155</v>
      </c>
      <c r="D85" s="337">
        <v>1280221</v>
      </c>
      <c r="E85" s="337">
        <v>1388424</v>
      </c>
      <c r="F85" s="337">
        <v>1425554</v>
      </c>
      <c r="G85" s="337">
        <v>1367687</v>
      </c>
      <c r="H85" s="337">
        <v>1380064</v>
      </c>
      <c r="I85" s="337">
        <v>1339057</v>
      </c>
      <c r="J85" s="337">
        <v>1451536</v>
      </c>
      <c r="K85" s="337">
        <v>1357157</v>
      </c>
      <c r="L85" s="337">
        <v>1461528</v>
      </c>
      <c r="M85" s="349">
        <v>795176</v>
      </c>
      <c r="N85" s="349">
        <v>732661</v>
      </c>
      <c r="O85" s="313"/>
    </row>
    <row r="86" spans="1:15" x14ac:dyDescent="0.25">
      <c r="A86" s="281"/>
      <c r="B86" s="321">
        <v>3860387</v>
      </c>
      <c r="C86" s="321">
        <v>4176377</v>
      </c>
      <c r="D86" s="325">
        <v>4115836</v>
      </c>
      <c r="E86" s="325">
        <v>7538705</v>
      </c>
      <c r="F86" s="325">
        <v>8189894</v>
      </c>
      <c r="G86" s="325">
        <v>9081234</v>
      </c>
      <c r="H86" s="325">
        <v>9472271</v>
      </c>
      <c r="I86" s="325">
        <v>9304341</v>
      </c>
      <c r="J86" s="325">
        <v>9975657</v>
      </c>
      <c r="K86" s="325">
        <v>11744092</v>
      </c>
      <c r="L86" s="325">
        <v>11777452</v>
      </c>
      <c r="M86" s="325">
        <v>8583950</v>
      </c>
      <c r="N86" s="325">
        <v>11387310</v>
      </c>
      <c r="O86" s="313"/>
    </row>
    <row r="87" spans="1:15" x14ac:dyDescent="0.25">
      <c r="A87" s="20" t="s">
        <v>276</v>
      </c>
      <c r="B87" s="334"/>
      <c r="C87" s="346"/>
      <c r="E87" s="334"/>
      <c r="F87" s="319"/>
      <c r="G87" s="319"/>
      <c r="H87" s="319"/>
      <c r="I87" s="319"/>
      <c r="J87" s="319"/>
      <c r="K87" s="313"/>
      <c r="L87" s="313">
        <v>0</v>
      </c>
      <c r="M87" s="313">
        <v>0</v>
      </c>
      <c r="N87" s="313"/>
      <c r="O87" s="313"/>
    </row>
    <row r="88" spans="1:15" ht="15.75" x14ac:dyDescent="0.25">
      <c r="A88" s="20" t="s">
        <v>432</v>
      </c>
      <c r="B88" s="309">
        <v>534404</v>
      </c>
      <c r="C88" s="321">
        <v>325027</v>
      </c>
      <c r="D88" s="309">
        <v>195849</v>
      </c>
      <c r="E88" s="309">
        <v>214169</v>
      </c>
      <c r="F88" s="309">
        <v>197340</v>
      </c>
      <c r="G88" s="309">
        <v>286990</v>
      </c>
      <c r="H88" s="309">
        <v>286568</v>
      </c>
      <c r="I88" s="309">
        <v>284633</v>
      </c>
      <c r="J88" s="309">
        <v>338249</v>
      </c>
      <c r="K88" s="309">
        <v>631530</v>
      </c>
      <c r="L88" s="309">
        <v>513116</v>
      </c>
      <c r="M88" s="348">
        <v>3201805</v>
      </c>
      <c r="N88" s="348">
        <v>1055557</v>
      </c>
      <c r="O88" s="313"/>
    </row>
    <row r="89" spans="1:15" ht="15.75" x14ac:dyDescent="0.25">
      <c r="A89" s="20" t="s">
        <v>433</v>
      </c>
      <c r="B89" s="309">
        <v>31777</v>
      </c>
      <c r="C89" s="321">
        <v>23452</v>
      </c>
      <c r="D89" s="309">
        <v>17786</v>
      </c>
      <c r="E89" s="309">
        <v>14761</v>
      </c>
      <c r="F89" s="309">
        <v>14701</v>
      </c>
      <c r="G89" s="309">
        <v>14482</v>
      </c>
      <c r="H89" s="309">
        <v>14662</v>
      </c>
      <c r="I89" s="309">
        <v>17327</v>
      </c>
      <c r="J89" s="309">
        <v>17171</v>
      </c>
      <c r="K89" s="309">
        <v>13461</v>
      </c>
      <c r="L89" s="309">
        <v>13114</v>
      </c>
      <c r="M89" s="348">
        <v>12715</v>
      </c>
      <c r="N89" s="348">
        <v>15163</v>
      </c>
      <c r="O89" s="313"/>
    </row>
    <row r="90" spans="1:15" ht="15.75" x14ac:dyDescent="0.25">
      <c r="A90" s="20" t="s">
        <v>434</v>
      </c>
      <c r="B90" s="309">
        <f>1127523</f>
        <v>1127523</v>
      </c>
      <c r="C90" s="321">
        <v>1622806</v>
      </c>
      <c r="D90" s="309">
        <f>1479792</f>
        <v>1479792</v>
      </c>
      <c r="E90" s="309">
        <v>2349121</v>
      </c>
      <c r="F90" s="309">
        <f>2131516</f>
        <v>2131516</v>
      </c>
      <c r="G90" s="309">
        <v>2628449</v>
      </c>
      <c r="H90" s="309">
        <v>1541706</v>
      </c>
      <c r="I90" s="309">
        <v>2023537</v>
      </c>
      <c r="J90" s="309">
        <v>1625291</v>
      </c>
      <c r="K90" s="309">
        <v>1866865</v>
      </c>
      <c r="L90" s="309">
        <v>1702823</v>
      </c>
      <c r="M90" s="348">
        <v>1801262</v>
      </c>
      <c r="N90" s="348">
        <v>1245369</v>
      </c>
      <c r="O90" s="313"/>
    </row>
    <row r="91" spans="1:15" ht="15.75" x14ac:dyDescent="0.25">
      <c r="A91" s="20" t="s">
        <v>419</v>
      </c>
      <c r="B91" s="341" t="s">
        <v>420</v>
      </c>
      <c r="C91" s="321">
        <v>6917</v>
      </c>
      <c r="D91" s="341" t="s">
        <v>420</v>
      </c>
      <c r="E91" s="321">
        <v>80</v>
      </c>
      <c r="F91" s="341" t="s">
        <v>420</v>
      </c>
      <c r="G91" s="309">
        <v>40624</v>
      </c>
      <c r="H91" s="309">
        <v>74161</v>
      </c>
      <c r="I91" s="309">
        <v>73358</v>
      </c>
      <c r="J91" s="309">
        <v>80218</v>
      </c>
      <c r="K91" s="309">
        <v>102615</v>
      </c>
      <c r="L91" s="309">
        <v>98289</v>
      </c>
      <c r="M91" s="348">
        <v>96953</v>
      </c>
      <c r="N91" s="348">
        <v>125840</v>
      </c>
      <c r="O91" s="313"/>
    </row>
    <row r="92" spans="1:15" ht="15.75" x14ac:dyDescent="0.25">
      <c r="A92" s="20" t="s">
        <v>271</v>
      </c>
      <c r="B92" s="387" t="s">
        <v>436</v>
      </c>
      <c r="C92" s="340">
        <v>169492</v>
      </c>
      <c r="D92" s="387" t="s">
        <v>439</v>
      </c>
      <c r="E92" s="342">
        <v>153676</v>
      </c>
      <c r="F92" s="387" t="s">
        <v>442</v>
      </c>
      <c r="G92" s="309">
        <v>167704</v>
      </c>
      <c r="H92" s="309">
        <v>165595</v>
      </c>
      <c r="I92" s="309">
        <v>162368</v>
      </c>
      <c r="J92" s="309">
        <v>142315</v>
      </c>
      <c r="K92" s="309">
        <v>158954</v>
      </c>
      <c r="L92" s="309">
        <v>128598</v>
      </c>
      <c r="M92" s="348">
        <v>172505</v>
      </c>
      <c r="N92" s="348">
        <v>146575</v>
      </c>
      <c r="O92" s="313"/>
    </row>
    <row r="93" spans="1:15" ht="15.75" x14ac:dyDescent="0.25">
      <c r="A93" s="20" t="s">
        <v>430</v>
      </c>
      <c r="B93" s="388"/>
      <c r="C93" s="321">
        <v>989253</v>
      </c>
      <c r="D93" s="388"/>
      <c r="E93" s="309">
        <v>1023328</v>
      </c>
      <c r="F93" s="388"/>
      <c r="G93" s="309">
        <v>1103036</v>
      </c>
      <c r="H93" s="309">
        <v>753330</v>
      </c>
      <c r="I93" s="309">
        <v>1563019</v>
      </c>
      <c r="J93" s="309">
        <v>671999</v>
      </c>
      <c r="K93" s="309">
        <v>1081415</v>
      </c>
      <c r="L93" s="309">
        <v>611345</v>
      </c>
      <c r="M93" s="348">
        <v>1196178</v>
      </c>
      <c r="N93" s="348">
        <v>706776</v>
      </c>
      <c r="O93" s="313"/>
    </row>
    <row r="94" spans="1:15" ht="15.75" x14ac:dyDescent="0.25">
      <c r="A94" s="20" t="s">
        <v>273</v>
      </c>
      <c r="B94" s="309">
        <v>238590</v>
      </c>
      <c r="C94" s="321">
        <v>189712</v>
      </c>
      <c r="D94" s="309">
        <v>280809</v>
      </c>
      <c r="E94" s="309">
        <v>275147</v>
      </c>
      <c r="F94" s="309">
        <v>294764</v>
      </c>
      <c r="G94" s="309">
        <v>268870</v>
      </c>
      <c r="H94" s="309">
        <v>399562</v>
      </c>
      <c r="I94" s="309">
        <v>239639</v>
      </c>
      <c r="J94" s="309">
        <v>313347</v>
      </c>
      <c r="K94" s="309">
        <v>245520</v>
      </c>
      <c r="L94" s="309">
        <v>293190</v>
      </c>
      <c r="M94" s="348">
        <v>254337</v>
      </c>
      <c r="N94" s="348">
        <v>304205</v>
      </c>
      <c r="O94" s="313"/>
    </row>
    <row r="95" spans="1:15" ht="15.75" x14ac:dyDescent="0.25">
      <c r="A95" s="20" t="s">
        <v>444</v>
      </c>
      <c r="B95" s="309">
        <v>68663</v>
      </c>
      <c r="C95" s="321">
        <v>68672</v>
      </c>
      <c r="D95" s="309">
        <v>76310</v>
      </c>
      <c r="E95" s="309">
        <v>163437</v>
      </c>
      <c r="F95" s="309">
        <v>45975</v>
      </c>
      <c r="G95" s="309">
        <v>113034</v>
      </c>
      <c r="H95" s="309">
        <v>63354</v>
      </c>
      <c r="I95" s="309">
        <v>79035</v>
      </c>
      <c r="J95" s="309">
        <v>1786</v>
      </c>
      <c r="K95" s="309">
        <v>13518</v>
      </c>
      <c r="L95" s="309">
        <v>1312</v>
      </c>
      <c r="M95" s="348">
        <v>85357</v>
      </c>
      <c r="N95" s="348">
        <v>681</v>
      </c>
      <c r="O95" s="313"/>
    </row>
    <row r="96" spans="1:15" ht="15.75" x14ac:dyDescent="0.25">
      <c r="A96" s="20" t="s">
        <v>283</v>
      </c>
      <c r="B96" s="325">
        <v>639528</v>
      </c>
      <c r="C96" s="321">
        <v>752819</v>
      </c>
      <c r="D96" s="325">
        <v>686263</v>
      </c>
      <c r="E96" s="325">
        <v>645067</v>
      </c>
      <c r="F96" s="325">
        <v>796374</v>
      </c>
      <c r="G96" s="325">
        <v>769234</v>
      </c>
      <c r="H96" s="325">
        <v>625307</v>
      </c>
      <c r="I96" s="325">
        <v>814814</v>
      </c>
      <c r="J96" s="325">
        <v>588576</v>
      </c>
      <c r="K96" s="325">
        <v>619689</v>
      </c>
      <c r="L96" s="325">
        <v>606884</v>
      </c>
      <c r="M96" s="348">
        <v>618214</v>
      </c>
      <c r="N96" s="348">
        <v>590223</v>
      </c>
      <c r="O96" s="313"/>
    </row>
    <row r="97" spans="1:15" ht="15.75" x14ac:dyDescent="0.25">
      <c r="A97" s="25" t="s">
        <v>445</v>
      </c>
      <c r="B97" s="337">
        <v>0</v>
      </c>
      <c r="C97" s="338">
        <v>0</v>
      </c>
      <c r="D97" s="337">
        <v>0</v>
      </c>
      <c r="E97" s="337">
        <v>0</v>
      </c>
      <c r="F97" s="337">
        <v>0</v>
      </c>
      <c r="G97" s="337">
        <v>0</v>
      </c>
      <c r="H97" s="337">
        <v>0</v>
      </c>
      <c r="I97" s="337">
        <v>0</v>
      </c>
      <c r="J97" s="337">
        <v>0</v>
      </c>
      <c r="K97" s="337">
        <v>84970</v>
      </c>
      <c r="L97" s="337">
        <v>84157</v>
      </c>
      <c r="M97" s="349">
        <v>0</v>
      </c>
      <c r="N97" s="349">
        <v>0</v>
      </c>
      <c r="O97" s="313"/>
    </row>
    <row r="98" spans="1:15" x14ac:dyDescent="0.25">
      <c r="A98" s="8"/>
      <c r="B98" s="309">
        <v>3358420</v>
      </c>
      <c r="C98" s="336">
        <v>4148150</v>
      </c>
      <c r="D98" s="309">
        <v>3651805</v>
      </c>
      <c r="E98" s="309">
        <v>4838786</v>
      </c>
      <c r="F98" s="309">
        <v>4339002</v>
      </c>
      <c r="G98" s="309">
        <v>5392423</v>
      </c>
      <c r="H98" s="309">
        <v>3924245</v>
      </c>
      <c r="I98" s="309">
        <v>5257730</v>
      </c>
      <c r="J98" s="309">
        <v>3778952</v>
      </c>
      <c r="K98" s="309">
        <v>4818537</v>
      </c>
      <c r="L98" s="309">
        <v>4052828</v>
      </c>
      <c r="M98" s="325">
        <v>7439326</v>
      </c>
      <c r="N98" s="325">
        <v>4190389</v>
      </c>
      <c r="O98" s="313"/>
    </row>
    <row r="99" spans="1:15" x14ac:dyDescent="0.25">
      <c r="A99" s="8"/>
      <c r="B99" s="23"/>
      <c r="C99" s="178"/>
      <c r="D99" s="23"/>
      <c r="E99" s="23"/>
      <c r="F99" s="23"/>
      <c r="G99" s="309"/>
      <c r="H99" s="309"/>
      <c r="I99" s="309"/>
      <c r="J99" s="309"/>
      <c r="K99" s="313"/>
      <c r="L99" s="313">
        <v>0</v>
      </c>
      <c r="M99" s="325">
        <v>0</v>
      </c>
      <c r="N99" s="325"/>
      <c r="O99" s="313"/>
    </row>
    <row r="100" spans="1:15" x14ac:dyDescent="0.25">
      <c r="A100" s="37" t="s">
        <v>284</v>
      </c>
      <c r="B100" s="328">
        <v>7218807</v>
      </c>
      <c r="C100" s="345">
        <v>8324527</v>
      </c>
      <c r="D100" s="328">
        <v>7767641</v>
      </c>
      <c r="E100" s="328">
        <v>12377491</v>
      </c>
      <c r="F100" s="328">
        <v>12528896</v>
      </c>
      <c r="G100" s="328">
        <v>14473657</v>
      </c>
      <c r="H100" s="328">
        <v>13396516</v>
      </c>
      <c r="I100" s="328">
        <v>14562071</v>
      </c>
      <c r="J100" s="328">
        <v>13754609</v>
      </c>
      <c r="K100" s="328">
        <v>16562629</v>
      </c>
      <c r="L100" s="328">
        <v>15830280</v>
      </c>
      <c r="M100" s="344">
        <v>16023276</v>
      </c>
      <c r="N100" s="344">
        <v>15577699</v>
      </c>
      <c r="O100" s="313"/>
    </row>
    <row r="101" spans="1:15" x14ac:dyDescent="0.25">
      <c r="A101" s="8"/>
      <c r="B101" s="309"/>
      <c r="C101" s="336"/>
      <c r="D101" s="309"/>
      <c r="E101" s="309"/>
      <c r="F101" s="309"/>
      <c r="G101" s="309"/>
      <c r="H101" s="309"/>
      <c r="I101" s="309"/>
      <c r="J101" s="309"/>
      <c r="K101" s="313"/>
      <c r="L101" s="313">
        <v>0</v>
      </c>
      <c r="M101" s="344">
        <v>0</v>
      </c>
      <c r="N101" s="344"/>
      <c r="O101" s="313"/>
    </row>
    <row r="102" spans="1:15" x14ac:dyDescent="0.25">
      <c r="A102" s="92" t="s">
        <v>285</v>
      </c>
      <c r="B102" s="328">
        <v>22016701.5</v>
      </c>
      <c r="C102" s="345">
        <v>23426963</v>
      </c>
      <c r="D102" s="328">
        <v>23404475</v>
      </c>
      <c r="E102" s="328">
        <v>28526996</v>
      </c>
      <c r="F102" s="328">
        <v>28968106</v>
      </c>
      <c r="G102" s="328">
        <v>31273677</v>
      </c>
      <c r="H102" s="328">
        <v>30689681</v>
      </c>
      <c r="I102" s="328">
        <v>32355570</v>
      </c>
      <c r="J102" s="328">
        <v>31577237</v>
      </c>
      <c r="K102" s="328">
        <v>34559193</v>
      </c>
      <c r="L102" s="328">
        <v>34322074</v>
      </c>
      <c r="M102" s="350">
        <v>32071433</v>
      </c>
      <c r="N102" s="350">
        <v>31661822</v>
      </c>
      <c r="O102" s="313"/>
    </row>
    <row r="103" spans="1:15" x14ac:dyDescent="0.25">
      <c r="B103" s="255"/>
      <c r="C103" s="255"/>
      <c r="D103" s="334"/>
      <c r="E103" s="255"/>
      <c r="F103" s="319"/>
      <c r="G103" s="351"/>
      <c r="H103" s="351"/>
    </row>
    <row r="104" spans="1:15" ht="15.75" x14ac:dyDescent="0.25">
      <c r="A104" s="276" t="s">
        <v>286</v>
      </c>
      <c r="B104" s="298"/>
      <c r="C104" s="298"/>
      <c r="D104" s="298"/>
      <c r="E104" s="298"/>
      <c r="F104" s="352"/>
      <c r="G104" s="352"/>
      <c r="H104" s="352"/>
      <c r="I104" s="246"/>
      <c r="J104" s="246"/>
      <c r="K104" s="246"/>
      <c r="L104" s="246"/>
      <c r="M104" s="246"/>
      <c r="N104" s="246"/>
    </row>
    <row r="105" spans="1:15" ht="25.5" x14ac:dyDescent="0.25">
      <c r="A105" s="300" t="s">
        <v>86</v>
      </c>
      <c r="B105" s="111" t="s">
        <v>482</v>
      </c>
      <c r="C105" s="111" t="s">
        <v>483</v>
      </c>
      <c r="D105" s="111" t="s">
        <v>484</v>
      </c>
      <c r="E105" s="111" t="s">
        <v>499</v>
      </c>
      <c r="F105" s="111" t="s">
        <v>486</v>
      </c>
      <c r="G105" s="111" t="s">
        <v>487</v>
      </c>
      <c r="H105" s="111" t="s">
        <v>488</v>
      </c>
      <c r="I105" s="250" t="s">
        <v>489</v>
      </c>
      <c r="J105" s="111" t="s">
        <v>13</v>
      </c>
      <c r="K105" s="111" t="s">
        <v>500</v>
      </c>
      <c r="L105" s="111" t="s">
        <v>12</v>
      </c>
      <c r="M105" s="111" t="s">
        <v>501</v>
      </c>
      <c r="N105" s="111" t="s">
        <v>534</v>
      </c>
    </row>
    <row r="106" spans="1:15" x14ac:dyDescent="0.25">
      <c r="A106" s="49" t="s">
        <v>287</v>
      </c>
      <c r="B106" s="287"/>
      <c r="C106" s="287"/>
      <c r="D106" s="287"/>
      <c r="E106" s="287"/>
      <c r="F106" s="287"/>
      <c r="G106" s="287"/>
      <c r="H106" s="287"/>
      <c r="I106" s="287"/>
      <c r="J106" s="287"/>
      <c r="K106" s="287"/>
      <c r="L106" s="287"/>
      <c r="M106" s="287"/>
      <c r="N106" s="287"/>
    </row>
    <row r="107" spans="1:15" x14ac:dyDescent="0.25">
      <c r="A107" s="303" t="s">
        <v>355</v>
      </c>
      <c r="B107" s="309">
        <v>721458</v>
      </c>
      <c r="C107" s="309">
        <v>535856</v>
      </c>
      <c r="D107" s="309">
        <v>914865</v>
      </c>
      <c r="E107" s="309">
        <v>685086</v>
      </c>
      <c r="F107" s="309">
        <v>1142356</v>
      </c>
      <c r="G107" s="309">
        <v>805221</v>
      </c>
      <c r="H107" s="309">
        <v>1086154</v>
      </c>
      <c r="I107" s="306">
        <v>599083</v>
      </c>
      <c r="J107" s="306">
        <v>925543</v>
      </c>
      <c r="K107" s="306">
        <v>572672</v>
      </c>
      <c r="L107" s="306">
        <v>858803</v>
      </c>
      <c r="M107" s="306">
        <v>-3046574</v>
      </c>
      <c r="N107" s="306">
        <v>32675</v>
      </c>
      <c r="O107" s="313"/>
    </row>
    <row r="108" spans="1:15" x14ac:dyDescent="0.25">
      <c r="A108" s="8" t="s">
        <v>447</v>
      </c>
      <c r="B108" s="309"/>
      <c r="C108" s="309"/>
      <c r="D108" s="309"/>
      <c r="E108" s="309"/>
      <c r="F108" s="309"/>
      <c r="G108" s="309"/>
      <c r="H108" s="309"/>
      <c r="I108" s="302"/>
      <c r="J108" s="306"/>
      <c r="K108" s="306"/>
      <c r="L108" s="306"/>
      <c r="M108" s="306"/>
      <c r="N108" s="306"/>
      <c r="O108" s="313"/>
    </row>
    <row r="109" spans="1:15" x14ac:dyDescent="0.25">
      <c r="A109" s="303" t="s">
        <v>448</v>
      </c>
      <c r="B109" s="309">
        <v>0</v>
      </c>
      <c r="C109" s="309">
        <v>236</v>
      </c>
      <c r="D109" s="309">
        <v>539</v>
      </c>
      <c r="E109" s="309">
        <v>507</v>
      </c>
      <c r="F109" s="309">
        <v>671</v>
      </c>
      <c r="G109" s="309">
        <v>1063</v>
      </c>
      <c r="H109" s="309">
        <v>1414</v>
      </c>
      <c r="I109" s="306">
        <v>1295</v>
      </c>
      <c r="J109" s="306">
        <v>776</v>
      </c>
      <c r="K109" s="306">
        <v>160</v>
      </c>
      <c r="L109" s="306">
        <v>-4870</v>
      </c>
      <c r="M109" s="306">
        <v>-3063</v>
      </c>
      <c r="N109" s="306">
        <v>-59861</v>
      </c>
      <c r="O109" s="313"/>
    </row>
    <row r="110" spans="1:15" x14ac:dyDescent="0.25">
      <c r="A110" s="52" t="s">
        <v>289</v>
      </c>
      <c r="B110" s="309">
        <v>688528</v>
      </c>
      <c r="C110" s="309">
        <v>670250</v>
      </c>
      <c r="D110" s="309">
        <v>697832</v>
      </c>
      <c r="E110" s="309">
        <v>713265</v>
      </c>
      <c r="F110" s="309">
        <v>827688</v>
      </c>
      <c r="G110" s="309">
        <v>858516</v>
      </c>
      <c r="H110" s="309">
        <v>863645</v>
      </c>
      <c r="I110" s="306">
        <v>863424</v>
      </c>
      <c r="J110" s="306">
        <v>912105</v>
      </c>
      <c r="K110" s="306">
        <v>884812</v>
      </c>
      <c r="L110" s="306">
        <v>870603</v>
      </c>
      <c r="M110" s="306">
        <v>962177</v>
      </c>
      <c r="N110" s="306">
        <v>821372</v>
      </c>
      <c r="O110" s="313"/>
    </row>
    <row r="111" spans="1:15" x14ac:dyDescent="0.25">
      <c r="A111" s="52" t="s">
        <v>449</v>
      </c>
      <c r="B111" s="309">
        <v>2777</v>
      </c>
      <c r="C111" s="309">
        <v>-2734</v>
      </c>
      <c r="D111" s="309">
        <v>-426</v>
      </c>
      <c r="E111" s="309">
        <v>3245</v>
      </c>
      <c r="F111" s="309">
        <v>-1119</v>
      </c>
      <c r="G111" s="309">
        <v>728</v>
      </c>
      <c r="H111" s="309">
        <v>1904</v>
      </c>
      <c r="I111" s="306">
        <v>-1057</v>
      </c>
      <c r="J111" s="306">
        <v>25</v>
      </c>
      <c r="K111" s="306">
        <v>7232</v>
      </c>
      <c r="L111" s="306">
        <v>-11427</v>
      </c>
      <c r="M111" s="306">
        <v>10712</v>
      </c>
      <c r="N111" s="306">
        <v>28369</v>
      </c>
      <c r="O111" s="313"/>
    </row>
    <row r="112" spans="1:15" x14ac:dyDescent="0.25">
      <c r="A112" s="52" t="s">
        <v>450</v>
      </c>
      <c r="B112" s="309">
        <v>56409</v>
      </c>
      <c r="C112" s="309">
        <v>75922</v>
      </c>
      <c r="D112" s="309">
        <v>25180</v>
      </c>
      <c r="E112" s="309">
        <v>33114</v>
      </c>
      <c r="F112" s="309">
        <v>107233</v>
      </c>
      <c r="G112" s="309">
        <v>118293</v>
      </c>
      <c r="H112" s="309">
        <v>104517</v>
      </c>
      <c r="I112" s="306">
        <v>115766</v>
      </c>
      <c r="J112" s="306">
        <v>137034</v>
      </c>
      <c r="K112" s="306">
        <v>149699</v>
      </c>
      <c r="L112" s="306">
        <v>137277</v>
      </c>
      <c r="M112" s="306">
        <v>136225</v>
      </c>
      <c r="N112" s="306">
        <v>126386</v>
      </c>
      <c r="O112" s="313"/>
    </row>
    <row r="113" spans="1:15" x14ac:dyDescent="0.25">
      <c r="A113" s="52" t="s">
        <v>451</v>
      </c>
      <c r="B113" s="309">
        <v>1252</v>
      </c>
      <c r="C113" s="309">
        <v>11901</v>
      </c>
      <c r="D113" s="309">
        <v>12205</v>
      </c>
      <c r="E113" s="309">
        <v>-28773</v>
      </c>
      <c r="F113" s="309">
        <v>17381</v>
      </c>
      <c r="G113" s="309">
        <v>17934</v>
      </c>
      <c r="H113" s="309">
        <v>235762</v>
      </c>
      <c r="I113" s="306">
        <v>81952</v>
      </c>
      <c r="J113" s="306">
        <v>29869</v>
      </c>
      <c r="K113" s="306">
        <v>14674</v>
      </c>
      <c r="L113" s="306">
        <v>38771</v>
      </c>
      <c r="M113" s="306">
        <v>3570051</v>
      </c>
      <c r="N113" s="306">
        <v>682346</v>
      </c>
      <c r="O113" s="313"/>
    </row>
    <row r="114" spans="1:15" x14ac:dyDescent="0.25">
      <c r="A114" s="52" t="s">
        <v>452</v>
      </c>
      <c r="B114" s="309">
        <v>-126694</v>
      </c>
      <c r="C114" s="309">
        <v>-268699</v>
      </c>
      <c r="D114" s="309">
        <v>-152979</v>
      </c>
      <c r="E114" s="309">
        <v>5034</v>
      </c>
      <c r="F114" s="309">
        <v>-68359</v>
      </c>
      <c r="G114" s="309">
        <v>-223345</v>
      </c>
      <c r="H114" s="309">
        <v>461636</v>
      </c>
      <c r="I114" s="306">
        <v>462781</v>
      </c>
      <c r="J114" s="306">
        <v>211343</v>
      </c>
      <c r="K114" s="306">
        <v>-99627</v>
      </c>
      <c r="L114" s="306">
        <v>91476</v>
      </c>
      <c r="M114" s="306">
        <v>27330</v>
      </c>
      <c r="N114" s="306">
        <v>29916</v>
      </c>
      <c r="O114" s="313"/>
    </row>
    <row r="115" spans="1:15" x14ac:dyDescent="0.25">
      <c r="A115" s="52" t="s">
        <v>453</v>
      </c>
      <c r="B115" s="309">
        <v>96263</v>
      </c>
      <c r="C115" s="309">
        <v>21109</v>
      </c>
      <c r="D115" s="309">
        <v>16750</v>
      </c>
      <c r="E115" s="309">
        <v>-201338</v>
      </c>
      <c r="F115" s="309">
        <v>40473</v>
      </c>
      <c r="G115" s="309">
        <v>-176565</v>
      </c>
      <c r="H115" s="309">
        <v>239093</v>
      </c>
      <c r="I115" s="306">
        <v>-52325</v>
      </c>
      <c r="J115" s="306">
        <v>31400</v>
      </c>
      <c r="K115" s="306">
        <v>-75268</v>
      </c>
      <c r="L115" s="306">
        <v>121565</v>
      </c>
      <c r="M115" s="306">
        <v>-31068</v>
      </c>
      <c r="N115" s="306">
        <v>27672</v>
      </c>
      <c r="O115" s="313"/>
    </row>
    <row r="116" spans="1:15" x14ac:dyDescent="0.25">
      <c r="A116" s="52" t="s">
        <v>454</v>
      </c>
      <c r="B116" s="309">
        <v>-172297</v>
      </c>
      <c r="C116" s="309">
        <v>387855</v>
      </c>
      <c r="D116" s="309">
        <v>-342376</v>
      </c>
      <c r="E116" s="309">
        <v>266156</v>
      </c>
      <c r="F116" s="309">
        <v>-366280</v>
      </c>
      <c r="G116" s="309">
        <v>436492</v>
      </c>
      <c r="H116" s="309">
        <v>-769801</v>
      </c>
      <c r="I116" s="306">
        <v>440924</v>
      </c>
      <c r="J116" s="306">
        <v>-644965</v>
      </c>
      <c r="K116" s="306">
        <v>410951</v>
      </c>
      <c r="L116" s="306">
        <v>-358148</v>
      </c>
      <c r="M116" s="306">
        <v>177512</v>
      </c>
      <c r="N116" s="306">
        <v>-310295</v>
      </c>
      <c r="O116" s="313"/>
    </row>
    <row r="117" spans="1:15" x14ac:dyDescent="0.25">
      <c r="A117" s="52" t="s">
        <v>455</v>
      </c>
      <c r="B117" s="309">
        <v>116206</v>
      </c>
      <c r="C117" s="309">
        <v>-227295</v>
      </c>
      <c r="D117" s="309">
        <v>28075</v>
      </c>
      <c r="E117" s="309">
        <v>-104679</v>
      </c>
      <c r="F117" s="309">
        <v>23923</v>
      </c>
      <c r="G117" s="309">
        <v>50989</v>
      </c>
      <c r="H117" s="309">
        <v>157149</v>
      </c>
      <c r="I117" s="306">
        <v>-690596</v>
      </c>
      <c r="J117" s="306">
        <v>474289</v>
      </c>
      <c r="K117" s="306">
        <v>-652698</v>
      </c>
      <c r="L117" s="306">
        <v>442249</v>
      </c>
      <c r="M117" s="306">
        <v>-546425</v>
      </c>
      <c r="N117" s="306">
        <v>760141</v>
      </c>
      <c r="O117" s="313"/>
    </row>
    <row r="118" spans="1:15" x14ac:dyDescent="0.25">
      <c r="A118" s="52" t="s">
        <v>502</v>
      </c>
      <c r="B118" s="309">
        <v>-3407</v>
      </c>
      <c r="C118" s="309">
        <v>-27691</v>
      </c>
      <c r="D118" s="309">
        <v>72500</v>
      </c>
      <c r="E118" s="309">
        <v>-111652</v>
      </c>
      <c r="F118" s="309">
        <v>-6238</v>
      </c>
      <c r="G118" s="309">
        <v>-59015</v>
      </c>
      <c r="H118" s="309">
        <v>91452</v>
      </c>
      <c r="I118" s="306">
        <v>-218270</v>
      </c>
      <c r="J118" s="306">
        <v>32735</v>
      </c>
      <c r="K118" s="306">
        <v>-100068</v>
      </c>
      <c r="L118" s="306">
        <v>11210</v>
      </c>
      <c r="M118" s="306">
        <v>-85172</v>
      </c>
      <c r="N118" s="306">
        <v>11428</v>
      </c>
      <c r="O118" s="313"/>
    </row>
    <row r="119" spans="1:15" x14ac:dyDescent="0.25">
      <c r="A119" s="52" t="s">
        <v>457</v>
      </c>
      <c r="B119" s="309">
        <v>-211938</v>
      </c>
      <c r="C119" s="309">
        <v>413068</v>
      </c>
      <c r="D119" s="309">
        <v>-157895</v>
      </c>
      <c r="E119" s="309">
        <v>-52140</v>
      </c>
      <c r="F119" s="309">
        <v>-188393</v>
      </c>
      <c r="G119" s="309">
        <v>448939</v>
      </c>
      <c r="H119" s="309">
        <v>-371031</v>
      </c>
      <c r="I119" s="306">
        <v>835727</v>
      </c>
      <c r="J119" s="306">
        <v>-915736</v>
      </c>
      <c r="K119" s="306">
        <v>620273</v>
      </c>
      <c r="L119" s="306">
        <v>-505248</v>
      </c>
      <c r="M119" s="306">
        <v>647091</v>
      </c>
      <c r="N119" s="306">
        <v>-512076</v>
      </c>
      <c r="O119" s="313"/>
    </row>
    <row r="120" spans="1:15" x14ac:dyDescent="0.25">
      <c r="A120" s="52" t="s">
        <v>295</v>
      </c>
      <c r="B120" s="309">
        <v>-77688</v>
      </c>
      <c r="C120" s="309">
        <v>-160712</v>
      </c>
      <c r="D120" s="309">
        <v>-51306</v>
      </c>
      <c r="E120" s="309">
        <v>-60623</v>
      </c>
      <c r="F120" s="309">
        <v>-216050</v>
      </c>
      <c r="G120" s="309">
        <v>-112795</v>
      </c>
      <c r="H120" s="309">
        <v>-260466</v>
      </c>
      <c r="I120" s="306">
        <v>-206171</v>
      </c>
      <c r="J120" s="306">
        <v>-196157</v>
      </c>
      <c r="K120" s="306">
        <v>-112236</v>
      </c>
      <c r="L120" s="306">
        <v>-71201</v>
      </c>
      <c r="M120" s="306">
        <v>-40515</v>
      </c>
      <c r="N120" s="306">
        <v>-219387</v>
      </c>
      <c r="O120" s="313"/>
    </row>
    <row r="121" spans="1:15" x14ac:dyDescent="0.25">
      <c r="A121" s="52" t="s">
        <v>134</v>
      </c>
      <c r="B121" s="309">
        <v>18</v>
      </c>
      <c r="C121" s="309">
        <v>392</v>
      </c>
      <c r="D121" s="309">
        <v>-79</v>
      </c>
      <c r="E121" s="309">
        <v>-1161</v>
      </c>
      <c r="F121" s="309">
        <v>209</v>
      </c>
      <c r="G121" s="309">
        <v>-899</v>
      </c>
      <c r="H121" s="309">
        <v>-961</v>
      </c>
      <c r="I121" s="306">
        <v>-4425</v>
      </c>
      <c r="J121" s="306">
        <v>-588</v>
      </c>
      <c r="K121" s="306">
        <v>-342</v>
      </c>
      <c r="L121" s="306">
        <v>0</v>
      </c>
      <c r="M121" s="306">
        <v>-11883</v>
      </c>
      <c r="N121" s="306">
        <v>-1515</v>
      </c>
      <c r="O121" s="313"/>
    </row>
    <row r="122" spans="1:15" x14ac:dyDescent="0.25">
      <c r="A122" s="92" t="s">
        <v>296</v>
      </c>
      <c r="B122" s="328">
        <v>1090887</v>
      </c>
      <c r="C122" s="328">
        <v>1429458</v>
      </c>
      <c r="D122" s="328">
        <v>1062885</v>
      </c>
      <c r="E122" s="328">
        <v>1146041</v>
      </c>
      <c r="F122" s="328">
        <v>1313495</v>
      </c>
      <c r="G122" s="328">
        <v>2165556</v>
      </c>
      <c r="H122" s="328">
        <v>1840467</v>
      </c>
      <c r="I122" s="328">
        <v>2228108</v>
      </c>
      <c r="J122" s="328">
        <v>997673</v>
      </c>
      <c r="K122" s="328">
        <v>1620234</v>
      </c>
      <c r="L122" s="328">
        <v>1621060</v>
      </c>
      <c r="M122" s="353">
        <v>1766398</v>
      </c>
      <c r="N122" s="353">
        <v>1417171</v>
      </c>
      <c r="O122" s="313"/>
    </row>
    <row r="123" spans="1:15" x14ac:dyDescent="0.25">
      <c r="A123" s="8" t="s">
        <v>297</v>
      </c>
      <c r="B123" s="351"/>
      <c r="C123" s="351"/>
      <c r="D123" s="309"/>
      <c r="E123" s="351"/>
      <c r="F123" s="309"/>
      <c r="G123" s="309"/>
      <c r="H123" s="309"/>
      <c r="I123" s="302"/>
      <c r="J123" s="306"/>
      <c r="K123" s="313"/>
      <c r="L123" s="313"/>
      <c r="M123" s="354">
        <v>0</v>
      </c>
      <c r="N123" s="354"/>
      <c r="O123" s="313"/>
    </row>
    <row r="124" spans="1:15" x14ac:dyDescent="0.25">
      <c r="A124" s="52" t="s">
        <v>303</v>
      </c>
      <c r="B124" s="309">
        <v>3147</v>
      </c>
      <c r="C124" s="309">
        <v>8584</v>
      </c>
      <c r="D124" s="309">
        <v>19786</v>
      </c>
      <c r="E124" s="309">
        <v>20171</v>
      </c>
      <c r="F124" s="309">
        <v>6710</v>
      </c>
      <c r="G124" s="309">
        <v>43482</v>
      </c>
      <c r="H124" s="309">
        <v>9959</v>
      </c>
      <c r="I124" s="306">
        <v>19826</v>
      </c>
      <c r="J124" s="306">
        <v>30295</v>
      </c>
      <c r="K124" s="306">
        <v>17505</v>
      </c>
      <c r="L124" s="306">
        <v>19379</v>
      </c>
      <c r="M124" s="294">
        <v>17175</v>
      </c>
      <c r="N124" s="294">
        <v>15403</v>
      </c>
      <c r="O124" s="313"/>
    </row>
    <row r="125" spans="1:15" x14ac:dyDescent="0.25">
      <c r="A125" s="52" t="s">
        <v>298</v>
      </c>
      <c r="B125" s="309">
        <v>-690511</v>
      </c>
      <c r="C125" s="309">
        <v>-827577</v>
      </c>
      <c r="D125" s="309">
        <v>-932831</v>
      </c>
      <c r="E125" s="309">
        <v>-1369439</v>
      </c>
      <c r="F125" s="309">
        <v>-1613621</v>
      </c>
      <c r="G125" s="309">
        <v>-1688850</v>
      </c>
      <c r="H125" s="309">
        <v>-1846214</v>
      </c>
      <c r="I125" s="306">
        <v>-2087459</v>
      </c>
      <c r="J125" s="306">
        <v>-1742014</v>
      </c>
      <c r="K125" s="306">
        <v>-1722564</v>
      </c>
      <c r="L125" s="306">
        <v>-1850110</v>
      </c>
      <c r="M125" s="294">
        <v>-2123400</v>
      </c>
      <c r="N125" s="294">
        <v>-1769630</v>
      </c>
      <c r="O125" s="313"/>
    </row>
    <row r="126" spans="1:15" x14ac:dyDescent="0.25">
      <c r="A126" s="52" t="s">
        <v>458</v>
      </c>
      <c r="B126" s="309">
        <v>0</v>
      </c>
      <c r="C126" s="309">
        <v>0</v>
      </c>
      <c r="D126" s="309">
        <v>0</v>
      </c>
      <c r="E126" s="309">
        <v>1493</v>
      </c>
      <c r="F126" s="309">
        <v>102506</v>
      </c>
      <c r="G126" s="309">
        <v>0</v>
      </c>
      <c r="H126" s="309">
        <v>0</v>
      </c>
      <c r="I126" s="306">
        <v>0</v>
      </c>
      <c r="J126" s="306">
        <v>0</v>
      </c>
      <c r="K126" s="306">
        <v>0</v>
      </c>
      <c r="L126" s="306">
        <v>21732</v>
      </c>
      <c r="M126" s="294">
        <v>0</v>
      </c>
      <c r="N126" s="294">
        <v>0</v>
      </c>
      <c r="O126" s="313"/>
    </row>
    <row r="127" spans="1:15" x14ac:dyDescent="0.25">
      <c r="A127" s="52" t="s">
        <v>459</v>
      </c>
      <c r="B127" s="309">
        <v>7820</v>
      </c>
      <c r="C127" s="309">
        <v>48369</v>
      </c>
      <c r="D127" s="309">
        <v>25065</v>
      </c>
      <c r="E127" s="309">
        <v>87746</v>
      </c>
      <c r="F127" s="309">
        <v>7260</v>
      </c>
      <c r="G127" s="309">
        <v>14751</v>
      </c>
      <c r="H127" s="309">
        <v>760</v>
      </c>
      <c r="I127" s="306">
        <v>3477</v>
      </c>
      <c r="J127" s="306">
        <v>1272</v>
      </c>
      <c r="K127" s="306">
        <v>36992</v>
      </c>
      <c r="L127" s="306">
        <f>23649-21732</f>
        <v>1917</v>
      </c>
      <c r="M127" s="294">
        <v>1160</v>
      </c>
      <c r="N127" s="294">
        <v>11117</v>
      </c>
      <c r="O127" s="313"/>
    </row>
    <row r="128" spans="1:15" x14ac:dyDescent="0.25">
      <c r="A128" s="52" t="s">
        <v>460</v>
      </c>
      <c r="B128" s="309">
        <v>0</v>
      </c>
      <c r="C128" s="309">
        <v>0</v>
      </c>
      <c r="D128" s="309">
        <v>0</v>
      </c>
      <c r="E128" s="309">
        <v>0</v>
      </c>
      <c r="F128" s="309">
        <v>0</v>
      </c>
      <c r="G128" s="309">
        <v>0</v>
      </c>
      <c r="H128" s="309">
        <v>0</v>
      </c>
      <c r="I128" s="306">
        <v>-232500</v>
      </c>
      <c r="J128" s="306">
        <v>0</v>
      </c>
      <c r="K128" s="306">
        <v>0</v>
      </c>
      <c r="L128" s="306">
        <v>0</v>
      </c>
      <c r="M128" s="294">
        <v>0</v>
      </c>
      <c r="N128" s="294">
        <v>0</v>
      </c>
      <c r="O128" s="313"/>
    </row>
    <row r="129" spans="1:15" x14ac:dyDescent="0.25">
      <c r="A129" s="52" t="s">
        <v>461</v>
      </c>
      <c r="B129" s="309">
        <v>-50156</v>
      </c>
      <c r="C129" s="309">
        <v>-19414</v>
      </c>
      <c r="D129" s="309">
        <f>-14634</f>
        <v>-14634</v>
      </c>
      <c r="E129" s="309">
        <v>-133355</v>
      </c>
      <c r="F129" s="309">
        <v>-8396</v>
      </c>
      <c r="G129" s="309">
        <v>-2067</v>
      </c>
      <c r="H129" s="309">
        <v>-4246</v>
      </c>
      <c r="I129" s="306">
        <v>-674</v>
      </c>
      <c r="J129" s="306">
        <v>-4400</v>
      </c>
      <c r="K129" s="306">
        <v>-2284</v>
      </c>
      <c r="L129" s="306">
        <v>-21734</v>
      </c>
      <c r="M129" s="294">
        <v>-7333</v>
      </c>
      <c r="N129" s="294">
        <v>-29534</v>
      </c>
      <c r="O129" s="313"/>
    </row>
    <row r="130" spans="1:15" x14ac:dyDescent="0.25">
      <c r="A130" s="52" t="s">
        <v>503</v>
      </c>
      <c r="B130" s="309">
        <v>0</v>
      </c>
      <c r="C130" s="309">
        <v>-1000</v>
      </c>
      <c r="D130" s="309">
        <v>-13000</v>
      </c>
      <c r="E130" s="309">
        <v>-10000</v>
      </c>
      <c r="F130" s="309">
        <v>0</v>
      </c>
      <c r="G130" s="309">
        <v>-32576</v>
      </c>
      <c r="H130" s="309">
        <v>0</v>
      </c>
      <c r="I130" s="306">
        <v>0</v>
      </c>
      <c r="J130" s="306">
        <v>0</v>
      </c>
      <c r="K130" s="306">
        <v>0</v>
      </c>
      <c r="L130" s="306">
        <v>0</v>
      </c>
      <c r="M130" s="294">
        <v>0</v>
      </c>
      <c r="N130" s="294">
        <v>0</v>
      </c>
      <c r="O130" s="313"/>
    </row>
    <row r="131" spans="1:15" x14ac:dyDescent="0.25">
      <c r="A131" s="52" t="s">
        <v>463</v>
      </c>
      <c r="B131" s="309">
        <v>0</v>
      </c>
      <c r="C131" s="309">
        <v>23</v>
      </c>
      <c r="D131" s="309">
        <v>0</v>
      </c>
      <c r="E131" s="309">
        <v>-3379615</v>
      </c>
      <c r="F131" s="309">
        <v>-5613</v>
      </c>
      <c r="G131" s="309">
        <v>0</v>
      </c>
      <c r="H131" s="309">
        <v>0</v>
      </c>
      <c r="I131" s="306">
        <v>0</v>
      </c>
      <c r="J131" s="306">
        <v>0</v>
      </c>
      <c r="K131" s="306">
        <v>0</v>
      </c>
      <c r="L131" s="306">
        <v>0</v>
      </c>
      <c r="M131" s="294">
        <v>0</v>
      </c>
      <c r="N131" s="294">
        <v>0</v>
      </c>
      <c r="O131" s="313"/>
    </row>
    <row r="132" spans="1:15" x14ac:dyDescent="0.25">
      <c r="A132" s="52" t="s">
        <v>464</v>
      </c>
      <c r="B132" s="309">
        <v>2198</v>
      </c>
      <c r="C132" s="309">
        <v>2151</v>
      </c>
      <c r="D132" s="309">
        <v>6358</v>
      </c>
      <c r="E132" s="309">
        <v>1815</v>
      </c>
      <c r="F132" s="309">
        <v>1485</v>
      </c>
      <c r="G132" s="309">
        <v>6864</v>
      </c>
      <c r="H132" s="309">
        <v>7396</v>
      </c>
      <c r="I132" s="306">
        <v>10927</v>
      </c>
      <c r="J132" s="306">
        <v>2096</v>
      </c>
      <c r="K132" s="306">
        <v>1835</v>
      </c>
      <c r="L132" s="306">
        <v>3585</v>
      </c>
      <c r="M132" s="294">
        <v>1099</v>
      </c>
      <c r="N132" s="294">
        <v>6592</v>
      </c>
      <c r="O132" s="313"/>
    </row>
    <row r="133" spans="1:15" x14ac:dyDescent="0.25">
      <c r="A133" s="52" t="s">
        <v>465</v>
      </c>
      <c r="B133" s="309">
        <v>162</v>
      </c>
      <c r="C133" s="309">
        <v>1215</v>
      </c>
      <c r="D133" s="309">
        <v>27</v>
      </c>
      <c r="E133" s="309">
        <v>639</v>
      </c>
      <c r="F133" s="309">
        <v>1</v>
      </c>
      <c r="G133" s="309">
        <v>135</v>
      </c>
      <c r="H133" s="309">
        <v>56</v>
      </c>
      <c r="I133" s="306">
        <v>-16</v>
      </c>
      <c r="J133" s="306">
        <v>469</v>
      </c>
      <c r="K133" s="306">
        <v>599</v>
      </c>
      <c r="L133" s="306">
        <v>5620</v>
      </c>
      <c r="M133" s="294">
        <v>388</v>
      </c>
      <c r="N133" s="294">
        <v>357</v>
      </c>
      <c r="O133" s="313"/>
    </row>
    <row r="134" spans="1:15" x14ac:dyDescent="0.25">
      <c r="A134" s="52" t="s">
        <v>304</v>
      </c>
      <c r="B134" s="309">
        <v>30</v>
      </c>
      <c r="C134" s="309">
        <v>1445</v>
      </c>
      <c r="D134" s="309">
        <v>25</v>
      </c>
      <c r="E134" s="309">
        <v>215</v>
      </c>
      <c r="F134" s="309">
        <v>0</v>
      </c>
      <c r="G134" s="309">
        <v>24500</v>
      </c>
      <c r="H134" s="309">
        <v>17550</v>
      </c>
      <c r="I134" s="306">
        <v>29250</v>
      </c>
      <c r="J134" s="306">
        <v>5850</v>
      </c>
      <c r="K134" s="306">
        <v>5850</v>
      </c>
      <c r="L134" s="306">
        <v>14500</v>
      </c>
      <c r="M134" s="294">
        <v>0</v>
      </c>
      <c r="N134" s="294">
        <v>0</v>
      </c>
      <c r="O134" s="313"/>
    </row>
    <row r="135" spans="1:15" x14ac:dyDescent="0.25">
      <c r="A135" s="52" t="s">
        <v>301</v>
      </c>
      <c r="B135" s="309">
        <v>-9000</v>
      </c>
      <c r="C135" s="309">
        <v>7600</v>
      </c>
      <c r="D135" s="309">
        <v>0</v>
      </c>
      <c r="E135" s="309">
        <v>0</v>
      </c>
      <c r="F135" s="309">
        <v>-75000</v>
      </c>
      <c r="G135" s="309">
        <v>-64500</v>
      </c>
      <c r="H135" s="309">
        <v>-79550</v>
      </c>
      <c r="I135" s="306">
        <v>-29250</v>
      </c>
      <c r="J135" s="306">
        <v>-5850</v>
      </c>
      <c r="K135" s="306">
        <v>-12200</v>
      </c>
      <c r="L135" s="306">
        <v>-8150</v>
      </c>
      <c r="M135" s="294">
        <v>-17950</v>
      </c>
      <c r="N135" s="294">
        <v>-7600</v>
      </c>
      <c r="O135" s="313"/>
    </row>
    <row r="136" spans="1:15" x14ac:dyDescent="0.25">
      <c r="A136" s="52" t="s">
        <v>134</v>
      </c>
      <c r="B136" s="309">
        <v>2972</v>
      </c>
      <c r="C136" s="309">
        <v>3466</v>
      </c>
      <c r="D136" s="309">
        <v>0</v>
      </c>
      <c r="E136" s="309">
        <v>0</v>
      </c>
      <c r="F136" s="309">
        <v>0</v>
      </c>
      <c r="G136" s="309">
        <v>0</v>
      </c>
      <c r="H136" s="309">
        <v>4</v>
      </c>
      <c r="I136" s="306">
        <v>216</v>
      </c>
      <c r="J136" s="306">
        <v>0</v>
      </c>
      <c r="K136" s="306">
        <v>-184</v>
      </c>
      <c r="L136" s="306">
        <v>0</v>
      </c>
      <c r="M136" s="294">
        <v>0</v>
      </c>
      <c r="N136" s="294">
        <v>-131077</v>
      </c>
      <c r="O136" s="313"/>
    </row>
    <row r="137" spans="1:15" x14ac:dyDescent="0.25">
      <c r="A137" s="92" t="s">
        <v>307</v>
      </c>
      <c r="B137" s="328">
        <v>-733338</v>
      </c>
      <c r="C137" s="328">
        <v>-775138</v>
      </c>
      <c r="D137" s="328">
        <v>-909204</v>
      </c>
      <c r="E137" s="328">
        <v>-4780330</v>
      </c>
      <c r="F137" s="328">
        <v>-1584668</v>
      </c>
      <c r="G137" s="328">
        <v>-1698261</v>
      </c>
      <c r="H137" s="328">
        <v>-1894285</v>
      </c>
      <c r="I137" s="328">
        <v>-2286203</v>
      </c>
      <c r="J137" s="328">
        <v>-1712282</v>
      </c>
      <c r="K137" s="328">
        <v>-1674451</v>
      </c>
      <c r="L137" s="328">
        <v>-1813261</v>
      </c>
      <c r="M137" s="328">
        <v>-2128861</v>
      </c>
      <c r="N137" s="328">
        <v>-1904372</v>
      </c>
      <c r="O137" s="313"/>
    </row>
    <row r="138" spans="1:15" x14ac:dyDescent="0.25">
      <c r="A138" s="8" t="s">
        <v>308</v>
      </c>
      <c r="B138" s="351"/>
      <c r="C138" s="351"/>
      <c r="D138" s="351"/>
      <c r="E138" s="351"/>
      <c r="F138" s="309"/>
      <c r="G138" s="351"/>
      <c r="H138" s="309"/>
      <c r="I138" s="309"/>
      <c r="J138" s="309"/>
      <c r="M138" s="355">
        <v>0</v>
      </c>
      <c r="N138" s="355"/>
      <c r="O138" s="313"/>
    </row>
    <row r="139" spans="1:15" x14ac:dyDescent="0.25">
      <c r="A139" s="52" t="s">
        <v>466</v>
      </c>
      <c r="B139" s="356">
        <v>-18568</v>
      </c>
      <c r="C139" s="356">
        <v>-17274</v>
      </c>
      <c r="D139" s="309">
        <v>-14920</v>
      </c>
      <c r="E139" s="309">
        <v>-10683</v>
      </c>
      <c r="F139" s="309">
        <v>-7853</v>
      </c>
      <c r="G139" s="309">
        <v>-6981</v>
      </c>
      <c r="H139" s="309">
        <v>-7495</v>
      </c>
      <c r="I139" s="309">
        <v>-7416</v>
      </c>
      <c r="J139" s="309">
        <v>-9899</v>
      </c>
      <c r="K139" s="309">
        <v>-10723</v>
      </c>
      <c r="L139" s="309">
        <v>-7716</v>
      </c>
      <c r="M139" s="325">
        <v>-6710</v>
      </c>
      <c r="N139" s="325">
        <v>-8008</v>
      </c>
      <c r="O139" s="313"/>
    </row>
    <row r="140" spans="1:15" x14ac:dyDescent="0.25">
      <c r="A140" s="52" t="s">
        <v>467</v>
      </c>
      <c r="B140" s="356">
        <v>59531</v>
      </c>
      <c r="C140" s="356">
        <v>107584</v>
      </c>
      <c r="D140" s="309">
        <v>75594</v>
      </c>
      <c r="E140" s="309">
        <v>11660</v>
      </c>
      <c r="F140" s="309">
        <v>549000</v>
      </c>
      <c r="G140" s="309">
        <v>456000</v>
      </c>
      <c r="H140" s="309">
        <v>451180</v>
      </c>
      <c r="I140" s="309">
        <v>1145</v>
      </c>
      <c r="J140" s="309">
        <v>0</v>
      </c>
      <c r="K140" s="309">
        <v>0</v>
      </c>
      <c r="L140" s="309">
        <v>0</v>
      </c>
      <c r="M140" s="325">
        <v>295000</v>
      </c>
      <c r="N140" s="325">
        <v>916</v>
      </c>
      <c r="O140" s="313"/>
    </row>
    <row r="141" spans="1:15" x14ac:dyDescent="0.25">
      <c r="A141" s="52" t="s">
        <v>311</v>
      </c>
      <c r="B141" s="356">
        <v>-233080</v>
      </c>
      <c r="C141" s="356">
        <v>-510940</v>
      </c>
      <c r="D141" s="309">
        <v>-235984</v>
      </c>
      <c r="E141" s="309">
        <v>-231199</v>
      </c>
      <c r="F141" s="309">
        <v>-96515</v>
      </c>
      <c r="G141" s="309">
        <v>-160695</v>
      </c>
      <c r="H141" s="309">
        <v>-19648</v>
      </c>
      <c r="I141" s="309">
        <v>-121578</v>
      </c>
      <c r="J141" s="309">
        <v>-60708</v>
      </c>
      <c r="K141" s="309">
        <v>-109263</v>
      </c>
      <c r="L141" s="309">
        <v>-44739</v>
      </c>
      <c r="M141" s="325">
        <v>-95846</v>
      </c>
      <c r="N141" s="325">
        <v>-44724</v>
      </c>
      <c r="O141" s="313"/>
    </row>
    <row r="142" spans="1:15" x14ac:dyDescent="0.25">
      <c r="A142" s="52" t="s">
        <v>315</v>
      </c>
      <c r="B142" s="356">
        <v>0</v>
      </c>
      <c r="C142" s="356">
        <v>848200</v>
      </c>
      <c r="D142" s="309">
        <v>0</v>
      </c>
      <c r="E142" s="309">
        <v>3300000</v>
      </c>
      <c r="F142" s="309">
        <v>150000</v>
      </c>
      <c r="G142" s="309">
        <v>0</v>
      </c>
      <c r="H142" s="309">
        <v>0</v>
      </c>
      <c r="I142" s="309">
        <v>0</v>
      </c>
      <c r="J142" s="309">
        <v>1000000</v>
      </c>
      <c r="K142" s="309">
        <v>2653234</v>
      </c>
      <c r="L142" s="309">
        <v>0</v>
      </c>
      <c r="M142" s="325">
        <v>310000</v>
      </c>
      <c r="N142" s="325">
        <v>2860000</v>
      </c>
      <c r="O142" s="313"/>
    </row>
    <row r="143" spans="1:15" x14ac:dyDescent="0.25">
      <c r="A143" s="52" t="s">
        <v>309</v>
      </c>
      <c r="B143" s="356">
        <v>-41308</v>
      </c>
      <c r="C143" s="356">
        <v>-567384</v>
      </c>
      <c r="D143" s="309">
        <v>0</v>
      </c>
      <c r="E143" s="309">
        <v>0</v>
      </c>
      <c r="F143" s="309">
        <v>0</v>
      </c>
      <c r="G143" s="309">
        <v>0</v>
      </c>
      <c r="H143" s="309">
        <v>0</v>
      </c>
      <c r="I143" s="309">
        <v>0</v>
      </c>
      <c r="J143" s="309">
        <v>-300000</v>
      </c>
      <c r="K143" s="309">
        <v>-848200</v>
      </c>
      <c r="L143" s="309">
        <v>-150000</v>
      </c>
      <c r="M143" s="325">
        <v>-300000</v>
      </c>
      <c r="N143" s="325">
        <v>-2250000</v>
      </c>
      <c r="O143" s="313"/>
    </row>
    <row r="144" spans="1:15" x14ac:dyDescent="0.25">
      <c r="A144" s="52" t="s">
        <v>468</v>
      </c>
      <c r="B144" s="356">
        <v>0</v>
      </c>
      <c r="C144" s="356">
        <v>0</v>
      </c>
      <c r="D144" s="309">
        <v>0</v>
      </c>
      <c r="E144" s="309">
        <v>-262882</v>
      </c>
      <c r="F144" s="309">
        <v>0</v>
      </c>
      <c r="G144" s="309">
        <v>-543290</v>
      </c>
      <c r="H144" s="309">
        <v>-340680</v>
      </c>
      <c r="I144" s="309">
        <v>-9830</v>
      </c>
      <c r="J144" s="309">
        <v>0</v>
      </c>
      <c r="K144" s="309">
        <v>-332984</v>
      </c>
      <c r="L144" s="309">
        <v>0</v>
      </c>
      <c r="M144" s="325">
        <v>-262882</v>
      </c>
      <c r="N144" s="325">
        <v>-1</v>
      </c>
      <c r="O144" s="313"/>
    </row>
    <row r="145" spans="1:15" x14ac:dyDescent="0.25">
      <c r="A145" s="52" t="s">
        <v>469</v>
      </c>
      <c r="B145" s="356">
        <v>-2287</v>
      </c>
      <c r="C145" s="356">
        <v>-3286</v>
      </c>
      <c r="D145" s="309">
        <v>-10885</v>
      </c>
      <c r="E145" s="309">
        <v>-2791</v>
      </c>
      <c r="F145" s="309">
        <v>-16019</v>
      </c>
      <c r="G145" s="309">
        <v>-415</v>
      </c>
      <c r="H145" s="309">
        <v>-7236</v>
      </c>
      <c r="I145" s="309">
        <v>-811</v>
      </c>
      <c r="J145" s="309">
        <v>-990</v>
      </c>
      <c r="K145" s="309">
        <v>-243</v>
      </c>
      <c r="L145" s="309">
        <v>-1821</v>
      </c>
      <c r="M145" s="325">
        <v>-809</v>
      </c>
      <c r="N145" s="325">
        <v>-2477</v>
      </c>
      <c r="O145" s="313"/>
    </row>
    <row r="146" spans="1:15" x14ac:dyDescent="0.25">
      <c r="A146" s="52" t="s">
        <v>312</v>
      </c>
      <c r="B146" s="356">
        <v>-55110</v>
      </c>
      <c r="C146" s="356">
        <v>-60710</v>
      </c>
      <c r="D146" s="309">
        <v>-28199</v>
      </c>
      <c r="E146" s="309">
        <v>-24093</v>
      </c>
      <c r="F146" s="309">
        <v>-107048</v>
      </c>
      <c r="G146" s="309">
        <v>-115041</v>
      </c>
      <c r="H146" s="309">
        <v>-85762</v>
      </c>
      <c r="I146" s="309">
        <v>-143669</v>
      </c>
      <c r="J146" s="309">
        <v>-136960</v>
      </c>
      <c r="K146" s="309">
        <v>136960</v>
      </c>
      <c r="L146" s="309">
        <v>-135386</v>
      </c>
      <c r="M146" s="325">
        <v>-140919</v>
      </c>
      <c r="N146" s="325">
        <v>-117339</v>
      </c>
      <c r="O146" s="313"/>
    </row>
    <row r="147" spans="1:15" x14ac:dyDescent="0.25">
      <c r="A147" s="52" t="s">
        <v>470</v>
      </c>
      <c r="B147" s="356">
        <v>0</v>
      </c>
      <c r="C147" s="356">
        <v>-9863</v>
      </c>
      <c r="D147" s="309">
        <v>-27192</v>
      </c>
      <c r="E147" s="309">
        <v>-10608</v>
      </c>
      <c r="F147" s="309">
        <v>-4184</v>
      </c>
      <c r="G147" s="309">
        <v>-2351</v>
      </c>
      <c r="H147" s="309">
        <v>-1352</v>
      </c>
      <c r="I147" s="309">
        <v>-35669</v>
      </c>
      <c r="J147" s="309">
        <v>-125227</v>
      </c>
      <c r="K147" s="309">
        <v>-148165</v>
      </c>
      <c r="L147" s="309">
        <v>-140</v>
      </c>
      <c r="M147" s="325">
        <v>-448</v>
      </c>
      <c r="N147" s="325">
        <v>-46</v>
      </c>
      <c r="O147" s="313"/>
    </row>
    <row r="148" spans="1:15" x14ac:dyDescent="0.25">
      <c r="A148" s="52" t="s">
        <v>134</v>
      </c>
      <c r="B148" s="356">
        <v>-3429</v>
      </c>
      <c r="C148" s="356">
        <v>-4940</v>
      </c>
      <c r="D148" s="309">
        <v>-7655</v>
      </c>
      <c r="E148" s="309">
        <v>-5399</v>
      </c>
      <c r="F148" s="309">
        <v>-1734</v>
      </c>
      <c r="G148" s="309">
        <f>-9241+106083</f>
        <v>96842</v>
      </c>
      <c r="H148" s="309">
        <v>20965</v>
      </c>
      <c r="I148" s="309">
        <f>-19761+89024</f>
        <v>69263</v>
      </c>
      <c r="J148" s="309">
        <v>38655</v>
      </c>
      <c r="K148" s="309">
        <v>15664</v>
      </c>
      <c r="L148" s="309">
        <v>2232</v>
      </c>
      <c r="M148" s="325">
        <v>14492</v>
      </c>
      <c r="N148" s="325">
        <f>-115939+131077</f>
        <v>15138</v>
      </c>
      <c r="O148" s="313"/>
    </row>
    <row r="149" spans="1:15" x14ac:dyDescent="0.25">
      <c r="A149" s="92" t="s">
        <v>317</v>
      </c>
      <c r="B149" s="357">
        <v>-294251</v>
      </c>
      <c r="C149" s="357">
        <v>-218613</v>
      </c>
      <c r="D149" s="328">
        <v>-249241</v>
      </c>
      <c r="E149" s="328">
        <v>2764005</v>
      </c>
      <c r="F149" s="328">
        <v>465647</v>
      </c>
      <c r="G149" s="328">
        <v>-275931</v>
      </c>
      <c r="H149" s="328">
        <v>9972</v>
      </c>
      <c r="I149" s="328">
        <v>-248565</v>
      </c>
      <c r="J149" s="328">
        <v>404871</v>
      </c>
      <c r="K149" s="328">
        <v>1230878</v>
      </c>
      <c r="L149" s="328">
        <v>-337570</v>
      </c>
      <c r="M149" s="328">
        <v>-188122</v>
      </c>
      <c r="N149" s="328">
        <v>453459</v>
      </c>
      <c r="O149" s="313"/>
    </row>
    <row r="150" spans="1:15" x14ac:dyDescent="0.25">
      <c r="A150" s="8" t="s">
        <v>318</v>
      </c>
      <c r="B150" s="309">
        <v>63298</v>
      </c>
      <c r="C150" s="325">
        <v>435707</v>
      </c>
      <c r="D150" s="309">
        <v>-95560</v>
      </c>
      <c r="E150" s="309">
        <v>-870284</v>
      </c>
      <c r="F150" s="309">
        <v>194474</v>
      </c>
      <c r="G150" s="309">
        <v>191364</v>
      </c>
      <c r="H150" s="309">
        <v>-43846</v>
      </c>
      <c r="I150" s="309">
        <v>-306660</v>
      </c>
      <c r="J150" s="309">
        <v>-309738</v>
      </c>
      <c r="K150" s="309">
        <v>1176661</v>
      </c>
      <c r="L150" s="309">
        <v>-529771</v>
      </c>
      <c r="M150" s="309">
        <v>-550585</v>
      </c>
      <c r="N150" s="374">
        <v>-33742</v>
      </c>
      <c r="O150" s="313"/>
    </row>
    <row r="151" spans="1:15" x14ac:dyDescent="0.25">
      <c r="A151" s="52" t="s">
        <v>319</v>
      </c>
      <c r="B151" s="309">
        <v>57</v>
      </c>
      <c r="C151" s="325">
        <v>-191</v>
      </c>
      <c r="D151" s="309">
        <v>146</v>
      </c>
      <c r="E151" s="309">
        <v>-149</v>
      </c>
      <c r="F151" s="309">
        <v>122</v>
      </c>
      <c r="G151" s="309">
        <v>-1497</v>
      </c>
      <c r="H151" s="309">
        <v>-845</v>
      </c>
      <c r="I151" s="309">
        <v>-1013</v>
      </c>
      <c r="J151" s="309">
        <v>60</v>
      </c>
      <c r="K151" s="309">
        <v>-237</v>
      </c>
      <c r="L151" s="309">
        <v>314</v>
      </c>
      <c r="M151" s="309">
        <v>855</v>
      </c>
      <c r="N151" s="374">
        <v>879</v>
      </c>
      <c r="O151" s="313"/>
    </row>
    <row r="152" spans="1:15" x14ac:dyDescent="0.25">
      <c r="A152" s="268" t="s">
        <v>320</v>
      </c>
      <c r="B152" s="309">
        <v>972655</v>
      </c>
      <c r="C152" s="309">
        <v>1035953</v>
      </c>
      <c r="D152" s="309">
        <v>1471660</v>
      </c>
      <c r="E152" s="309">
        <v>1376100</v>
      </c>
      <c r="F152" s="309">
        <v>505816</v>
      </c>
      <c r="G152" s="309">
        <v>700290</v>
      </c>
      <c r="H152" s="309">
        <v>891654</v>
      </c>
      <c r="I152" s="309">
        <v>847808</v>
      </c>
      <c r="J152" s="309">
        <v>541148</v>
      </c>
      <c r="K152" s="309">
        <v>231410</v>
      </c>
      <c r="L152" s="309">
        <v>1408071</v>
      </c>
      <c r="M152" s="309">
        <v>878300</v>
      </c>
      <c r="N152" s="374">
        <v>327715</v>
      </c>
      <c r="O152" s="313"/>
    </row>
    <row r="153" spans="1:15" x14ac:dyDescent="0.25">
      <c r="A153" s="268" t="s">
        <v>471</v>
      </c>
      <c r="B153" s="309">
        <v>1035953</v>
      </c>
      <c r="C153" s="309">
        <v>1471660</v>
      </c>
      <c r="D153" s="309">
        <v>1376100</v>
      </c>
      <c r="E153" s="309">
        <v>505816</v>
      </c>
      <c r="F153" s="309">
        <v>700290</v>
      </c>
      <c r="G153" s="309">
        <v>891654</v>
      </c>
      <c r="H153" s="309">
        <v>847808</v>
      </c>
      <c r="I153" s="309">
        <v>541148</v>
      </c>
      <c r="J153" s="309">
        <v>231410</v>
      </c>
      <c r="K153" s="309">
        <v>1408071</v>
      </c>
      <c r="L153" s="309">
        <v>878300</v>
      </c>
      <c r="M153" s="309">
        <v>327715</v>
      </c>
      <c r="N153" s="374">
        <v>293973</v>
      </c>
      <c r="O153" s="313"/>
    </row>
    <row r="154" spans="1:15" x14ac:dyDescent="0.25">
      <c r="A154" s="60" t="s">
        <v>322</v>
      </c>
      <c r="B154" s="337">
        <v>27374</v>
      </c>
      <c r="C154" s="337">
        <v>165862</v>
      </c>
      <c r="D154" s="337">
        <v>69123</v>
      </c>
      <c r="E154" s="337">
        <v>176241</v>
      </c>
      <c r="F154" s="337">
        <v>215496</v>
      </c>
      <c r="G154" s="337">
        <v>290063</v>
      </c>
      <c r="H154" s="337">
        <v>273729</v>
      </c>
      <c r="I154" s="337">
        <v>121129</v>
      </c>
      <c r="J154" s="337">
        <v>154406</v>
      </c>
      <c r="K154" s="337">
        <v>116568</v>
      </c>
      <c r="L154" s="337">
        <v>164421</v>
      </c>
      <c r="M154" s="337">
        <v>206254</v>
      </c>
      <c r="N154" s="337">
        <v>179404</v>
      </c>
      <c r="O154" s="313"/>
    </row>
    <row r="156" spans="1:15" x14ac:dyDescent="0.25">
      <c r="A156" s="309" t="s">
        <v>361</v>
      </c>
      <c r="B156" s="12" t="s">
        <v>473</v>
      </c>
    </row>
    <row r="157" spans="1:15" x14ac:dyDescent="0.25">
      <c r="A157" s="309" t="s">
        <v>420</v>
      </c>
      <c r="B157" s="12" t="s">
        <v>475</v>
      </c>
      <c r="K157" s="313"/>
    </row>
    <row r="158" spans="1:15" x14ac:dyDescent="0.25">
      <c r="A158" s="309" t="s">
        <v>476</v>
      </c>
      <c r="B158" s="12" t="s">
        <v>478</v>
      </c>
    </row>
    <row r="159" spans="1:15" x14ac:dyDescent="0.25">
      <c r="A159" s="309" t="s">
        <v>479</v>
      </c>
      <c r="B159" s="12" t="s">
        <v>480</v>
      </c>
    </row>
  </sheetData>
  <customSheetViews>
    <customSheetView guid="{627AEB6E-B9F1-415E-9A60-881757A50C67}" scale="90">
      <pane xSplit="1" ySplit="4" topLeftCell="F71" activePane="bottomRight" state="frozen"/>
      <selection pane="bottomRight" activeCell="P152" sqref="P152"/>
      <pageMargins left="0.7" right="0.7" top="0.75" bottom="0.75" header="0.3" footer="0.3"/>
    </customSheetView>
    <customSheetView guid="{AAA495E0-27FD-4941-85B8-9038B6AD4FA3}" scale="90">
      <pane xSplit="1" ySplit="4" topLeftCell="F122" activePane="bottomRight" state="frozen"/>
      <selection pane="bottomRight" activeCell="N113" sqref="N113"/>
      <pageMargins left="0.7" right="0.7" top="0.75" bottom="0.75" header="0.3" footer="0.3"/>
    </customSheetView>
    <customSheetView guid="{874BA5F8-BD95-4DDF-8F31-98DB154CA965}" scale="90">
      <pane xSplit="1" ySplit="4" topLeftCell="F122" activePane="bottomRight" state="frozen"/>
      <selection pane="bottomRight" activeCell="N113" sqref="N113"/>
      <pageMargins left="0.7" right="0.7" top="0.75" bottom="0.75" header="0.3" footer="0.3"/>
    </customSheetView>
    <customSheetView guid="{77EFF5B1-32BE-4080-9902-B97F43099026}" scale="90">
      <pane xSplit="1" ySplit="4" topLeftCell="F71" activePane="bottomRight" state="frozen"/>
      <selection pane="bottomRight" activeCell="P152" sqref="P152"/>
      <pageMargins left="0.7" right="0.7" top="0.75" bottom="0.75" header="0.3" footer="0.3"/>
    </customSheetView>
  </customSheetViews>
  <mergeCells count="11">
    <mergeCell ref="H43:H44"/>
    <mergeCell ref="B82:B83"/>
    <mergeCell ref="D82:D83"/>
    <mergeCell ref="F82:F83"/>
    <mergeCell ref="B92:B93"/>
    <mergeCell ref="D92:D93"/>
    <mergeCell ref="F92:F93"/>
    <mergeCell ref="B43:B44"/>
    <mergeCell ref="C43:C44"/>
    <mergeCell ref="D43:D44"/>
    <mergeCell ref="F43:F4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602ADDBC435A498719F4E16DE65470" ma:contentTypeVersion="1" ma:contentTypeDescription="Utwórz nowy dokument." ma:contentTypeScope="" ma:versionID="b52d4e64fc82c101e56d96bd884aa61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17573e9cebe49395029ccb7cb73925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owana data rozpoczęci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Planowana data zakończeni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B37B41-42DA-45F2-A460-C7F828B8C7C8}"/>
</file>

<file path=customXml/itemProps2.xml><?xml version="1.0" encoding="utf-8"?>
<ds:datastoreItem xmlns:ds="http://schemas.openxmlformats.org/officeDocument/2006/customXml" ds:itemID="{1C6BC59F-9228-4655-97E1-AE1195881188}"/>
</file>

<file path=customXml/itemProps3.xml><?xml version="1.0" encoding="utf-8"?>
<ds:datastoreItem xmlns:ds="http://schemas.openxmlformats.org/officeDocument/2006/customXml" ds:itemID="{72763A4F-50B7-49DF-9AB9-A751C48D36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Podstawowe Parametry</vt:lpstr>
      <vt:lpstr>Zainstalowana moc</vt:lpstr>
      <vt:lpstr>Wyniki segmentów</vt:lpstr>
      <vt:lpstr>Inwestycje</vt:lpstr>
      <vt:lpstr>Rach. zysków i strat</vt:lpstr>
      <vt:lpstr>Bilans</vt:lpstr>
      <vt:lpstr>Rach. przepływów pieniężnych</vt:lpstr>
      <vt:lpstr>Hist. dane kwartalne</vt:lpstr>
      <vt:lpstr>Hist. dane półroczne</vt:lpstr>
      <vt:lpstr>Hist. dane roczne</vt:lpstr>
    </vt:vector>
  </TitlesOfParts>
  <Company>TAURON Polska Energia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Tauron_spreadsheet_I_polrocze_2016</dc:title>
  <dc:creator>Barchanowski Rafał</dc:creator>
  <cp:lastModifiedBy>Marcin Siwczyk</cp:lastModifiedBy>
  <dcterms:created xsi:type="dcterms:W3CDTF">2016-07-29T07:12:06Z</dcterms:created>
  <dcterms:modified xsi:type="dcterms:W3CDTF">2016-08-16T12:55:16Z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0x01010098602ADDBC435A498719F4E16DE65470</vt:lpwstr>
  </property>
  <property fmtid="{D5CDD505-2E9C-101B-9397-08002B2CF9AE}" pid="3" name="Order">
    <vt:r8>4600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