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revisions/userNames.xml" ContentType="application/vnd.openxmlformats-officedocument.spreadsheetml.userNames+xml"/>
  <Override PartName="/xl/revisions/revisionLog60.xml" ContentType="application/vnd.openxmlformats-officedocument.spreadsheetml.revisionLog+xml"/>
  <Override PartName="/xl/revisions/revisionHeaders.xml" ContentType="application/vnd.openxmlformats-officedocument.spreadsheetml.revisionHeaders+xml"/>
  <Override PartName="/docProps/app.xml" ContentType="application/vnd.openxmlformats-officedocument.extended-properties+xml"/>
  <Override PartName="/xl/revisions/revisionLog32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4.xml" ContentType="application/vnd.openxmlformats-officedocument.spreadsheetml.revisionLog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53222"/>
  <mc:AlternateContent xmlns:mc="http://schemas.openxmlformats.org/markup-compatibility/2006">
    <mc:Choice Requires="x15">
      <x15ac:absPath xmlns:x15ac="http://schemas.microsoft.com/office/spreadsheetml/2010/11/ac" url="C:\Users\iwiechecka\Documents\SKONSOLIDOWANE GRUPA\RAPORT IIIQ 2016\"/>
    </mc:Choice>
  </mc:AlternateContent>
  <bookViews>
    <workbookView xWindow="0" yWindow="0" windowWidth="25200" windowHeight="12135" tabRatio="796"/>
  </bookViews>
  <sheets>
    <sheet name="Podstawowe Parametry" sheetId="1" r:id="rId1"/>
    <sheet name="Zainstalowana moc" sheetId="2" r:id="rId2"/>
    <sheet name="Wyniki segmentów" sheetId="3" r:id="rId3"/>
    <sheet name="Inwestycje" sheetId="4" r:id="rId4"/>
    <sheet name="Rach. zysków i strat" sheetId="5" r:id="rId5"/>
    <sheet name="Bilans" sheetId="6" r:id="rId6"/>
    <sheet name="Rach. przepływów pieniężnych" sheetId="7" r:id="rId7"/>
    <sheet name="Hist. dane kwartalne" sheetId="8" r:id="rId8"/>
    <sheet name="Hist. dane półroczne" sheetId="9" r:id="rId9"/>
    <sheet name="Hist. dane roczne" sheetId="10" r:id="rId10"/>
  </sheets>
  <externalReferences>
    <externalReference r:id="rId11"/>
  </externalReferences>
  <calcPr calcId="152511"/>
  <customWorkbookViews>
    <customWorkbookView name="Wiechecka Irena - Widok osobisty" guid="{77EFF5B1-32BE-4080-9902-B97F43099026}" mergeInterval="0" personalView="1" maximized="1" xWindow="1592" yWindow="-8" windowWidth="1936" windowHeight="1096" tabRatio="796" activeSheetId="1"/>
    <customWorkbookView name="Otto Sonia - Widok osobisty" guid="{AAA495E0-27FD-4941-85B8-9038B6AD4FA3}" mergeInterval="0" personalView="1" maximized="1" xWindow="-8" yWindow="-8" windowWidth="1936" windowHeight="1056" tabRatio="796" activeSheetId="7"/>
    <customWorkbookView name="Maciejczyk Ewa - Widok osobisty" guid="{874BA5F8-BD95-4DDF-8F31-98DB154CA965}" mergeInterval="0" personalView="1" maximized="1" xWindow="-8" yWindow="-8" windowWidth="1936" windowHeight="1056" tabRatio="796" activeSheetId="7"/>
    <customWorkbookView name="Marcin Siwczyk - Widok osobisty" guid="{627AEB6E-B9F1-415E-9A60-881757A50C67}" mergeInterval="0" personalView="1" maximized="1" xWindow="-8" yWindow="-8" windowWidth="1616" windowHeight="876" tabRatio="796" activeSheetId="2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4" l="1"/>
  <c r="F9" i="4"/>
  <c r="D9" i="4"/>
  <c r="C9" i="4"/>
  <c r="C35" i="2" l="1"/>
  <c r="D31" i="2"/>
  <c r="D28" i="2"/>
  <c r="C28" i="2"/>
  <c r="C18" i="2"/>
  <c r="C16" i="2"/>
  <c r="C13" i="2"/>
  <c r="C10" i="2"/>
  <c r="C7" i="2"/>
  <c r="D3" i="2"/>
  <c r="C3" i="2"/>
  <c r="D22" i="2" l="1"/>
  <c r="D32" i="2"/>
  <c r="D44" i="2"/>
  <c r="C32" i="2"/>
  <c r="C40" i="2"/>
  <c r="M8" i="4"/>
  <c r="M7" i="4"/>
  <c r="M6" i="4"/>
  <c r="M5" i="4"/>
  <c r="M4" i="4"/>
  <c r="L8" i="4"/>
  <c r="L7" i="4"/>
  <c r="L6" i="4"/>
  <c r="L5" i="4"/>
  <c r="L4" i="4"/>
  <c r="J8" i="4"/>
  <c r="J7" i="4"/>
  <c r="J6" i="4"/>
  <c r="J5" i="4"/>
  <c r="J4" i="4"/>
  <c r="I8" i="4"/>
  <c r="I7" i="4"/>
  <c r="I6" i="4"/>
  <c r="I5" i="4"/>
  <c r="I4" i="4"/>
  <c r="N148" i="9"/>
  <c r="I102" i="8"/>
  <c r="I100" i="8"/>
  <c r="I98" i="8"/>
  <c r="I96" i="8"/>
  <c r="I95" i="8"/>
  <c r="I94" i="8"/>
  <c r="I86" i="8"/>
  <c r="I85" i="8"/>
  <c r="I84" i="8"/>
  <c r="I75" i="8"/>
  <c r="I73" i="8"/>
  <c r="I71" i="8"/>
  <c r="I70" i="8"/>
  <c r="G148" i="10"/>
  <c r="F148" i="10"/>
  <c r="E148" i="10"/>
  <c r="D148" i="10"/>
  <c r="F58" i="10"/>
  <c r="E58" i="10"/>
  <c r="D58" i="10"/>
  <c r="C58" i="10"/>
  <c r="B58" i="10"/>
  <c r="F24" i="10"/>
  <c r="F25" i="10"/>
  <c r="F26" i="10"/>
  <c r="I148" i="9"/>
  <c r="G148" i="9"/>
  <c r="D129" i="9"/>
  <c r="L127" i="9"/>
  <c r="F90" i="9"/>
  <c r="D90" i="9"/>
  <c r="B90" i="9"/>
  <c r="J59" i="9"/>
  <c r="I59" i="9"/>
  <c r="H59" i="9"/>
  <c r="G59" i="9"/>
  <c r="F59" i="9"/>
  <c r="E59" i="9"/>
  <c r="D59" i="9"/>
  <c r="C59" i="9"/>
  <c r="B59" i="9"/>
  <c r="F25" i="9"/>
  <c r="F26" i="9"/>
  <c r="H18" i="9"/>
  <c r="H17" i="9"/>
  <c r="H16" i="9"/>
  <c r="H12" i="9"/>
  <c r="H7" i="9"/>
  <c r="H6" i="9"/>
  <c r="H5" i="9"/>
  <c r="V148" i="8"/>
  <c r="N148" i="8"/>
  <c r="W127" i="8"/>
  <c r="Y98" i="8"/>
  <c r="G90" i="8"/>
  <c r="Y86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M44" i="8"/>
  <c r="I44" i="8"/>
  <c r="O6" i="8"/>
  <c r="O5" i="8"/>
  <c r="AU23" i="4"/>
  <c r="AT23" i="4"/>
  <c r="AR23" i="4"/>
  <c r="AQ23" i="4"/>
  <c r="AO23" i="4"/>
  <c r="AN23" i="4"/>
  <c r="AX12" i="4"/>
  <c r="AW12" i="4"/>
  <c r="AU12" i="4"/>
  <c r="AT12" i="4"/>
  <c r="AR12" i="4"/>
  <c r="AQ12" i="4"/>
  <c r="AO12" i="4"/>
  <c r="AN12" i="4"/>
  <c r="AK9" i="4"/>
  <c r="AJ9" i="4"/>
  <c r="AH9" i="4"/>
  <c r="AG9" i="4"/>
  <c r="AE9" i="4"/>
  <c r="AD9" i="4"/>
  <c r="AB9" i="4"/>
  <c r="AA9" i="4"/>
  <c r="Y9" i="4"/>
  <c r="X9" i="4"/>
  <c r="V9" i="4"/>
  <c r="U9" i="4"/>
  <c r="S9" i="4"/>
  <c r="R9" i="4"/>
  <c r="P9" i="4"/>
  <c r="O9" i="4"/>
  <c r="C22" i="2"/>
  <c r="C44" i="2" s="1"/>
  <c r="L9" i="4" l="1"/>
  <c r="I9" i="4"/>
  <c r="J9" i="4"/>
  <c r="M9" i="4"/>
</calcChain>
</file>

<file path=xl/sharedStrings.xml><?xml version="1.0" encoding="utf-8"?>
<sst xmlns="http://schemas.openxmlformats.org/spreadsheetml/2006/main" count="1260" uniqueCount="560">
  <si>
    <t>Podstawowe parametry</t>
  </si>
  <si>
    <t>Jednostka</t>
  </si>
  <si>
    <t>I kwartał 
2016 r.</t>
  </si>
  <si>
    <t>I kwartał 
2015 r.</t>
  </si>
  <si>
    <t>2015 r.</t>
  </si>
  <si>
    <t>2014 r.</t>
  </si>
  <si>
    <t>IV kwartał 2015 r.</t>
  </si>
  <si>
    <t>IV kwartał 2014 r.</t>
  </si>
  <si>
    <t>Za okres
9 miesięcy 2015 r.</t>
  </si>
  <si>
    <t>Za okres
9 miesięcy 2014 r.</t>
  </si>
  <si>
    <t>III kwartał 2015 r.</t>
  </si>
  <si>
    <t>III kwartał 2014 r.</t>
  </si>
  <si>
    <t>I półrocze 2015 r.</t>
  </si>
  <si>
    <t>I półrocze 2014 r.</t>
  </si>
  <si>
    <t>II kwartał 2015 r.</t>
  </si>
  <si>
    <t>II kwartał 2014 r.</t>
  </si>
  <si>
    <t>I kwartał 2015 r.</t>
  </si>
  <si>
    <t>I kwartał 2014 r.</t>
  </si>
  <si>
    <t>2013 r.</t>
  </si>
  <si>
    <t>IV kwartał 2013 r.</t>
  </si>
  <si>
    <t>Za okres
9 miesięcy 2013 r.</t>
  </si>
  <si>
    <t>Za III kwartał 2014 r.</t>
  </si>
  <si>
    <t>Za III kwartał 2013 r.</t>
  </si>
  <si>
    <t>Za okres 
I półrocza 2014 r.</t>
  </si>
  <si>
    <t>Za okres 
I półrocza 2013 r.</t>
  </si>
  <si>
    <t>Za okres 
II kwartału 2014 r.</t>
  </si>
  <si>
    <t>Za okres 
II kwartału 2013 r.</t>
  </si>
  <si>
    <t>Za okres 
I kwartału 2014 r.</t>
  </si>
  <si>
    <t>Za okres 
I kwartału 2013 r.</t>
  </si>
  <si>
    <t>Przychody ze sprzedaży</t>
  </si>
  <si>
    <t>tys. zł</t>
  </si>
  <si>
    <t>EBITDA</t>
  </si>
  <si>
    <t>Zysk netto</t>
  </si>
  <si>
    <t>CAPEX</t>
  </si>
  <si>
    <t>Dług netto/EBITDA</t>
  </si>
  <si>
    <t>Produkcja węgla</t>
  </si>
  <si>
    <t>mln t</t>
  </si>
  <si>
    <t>Wytwarzanie energii elektrycznej</t>
  </si>
  <si>
    <t>TWh</t>
  </si>
  <si>
    <t>Dystrybucja energii elektrycznej</t>
  </si>
  <si>
    <t>Sprzedaż detaliczna energii elektrycznej</t>
  </si>
  <si>
    <t>Lista jednostek wytwórczych Grupy TAURON</t>
  </si>
  <si>
    <t>Nazwa jednostki</t>
  </si>
  <si>
    <t>Rodzaj jednostki</t>
  </si>
  <si>
    <t>Energia elektryczna (MWe)*</t>
  </si>
  <si>
    <t>Ciepło (MWt)*</t>
  </si>
  <si>
    <t>Jaworzno III</t>
  </si>
  <si>
    <t>Elektrownia</t>
  </si>
  <si>
    <t>Jaworzno II (bloki 2 i 3)</t>
  </si>
  <si>
    <t>Jaworzno III (bloki 1-6)</t>
  </si>
  <si>
    <t>blok biomasowy</t>
  </si>
  <si>
    <t>Łaziska</t>
  </si>
  <si>
    <t>Bloki 1 i 2</t>
  </si>
  <si>
    <t>Bloki 9-12</t>
  </si>
  <si>
    <t>Łagisza</t>
  </si>
  <si>
    <t>Bloki 5-7</t>
  </si>
  <si>
    <t>Blok 10</t>
  </si>
  <si>
    <t>Siersza</t>
  </si>
  <si>
    <t>Bloki 1-2</t>
  </si>
  <si>
    <t>Bloki 3, 5 i 6</t>
  </si>
  <si>
    <t>Blachownia</t>
  </si>
  <si>
    <t>od 10 grudnia 2014 r. przekazana do spółki TAMEH Polska</t>
  </si>
  <si>
    <t>Układ kolektorowy</t>
  </si>
  <si>
    <t>Stalowa Wola</t>
  </si>
  <si>
    <t>Bloki 7-8</t>
  </si>
  <si>
    <t>SEGMENT WYTWARZANIE</t>
  </si>
  <si>
    <t>ZW Tychy (blok biomasowy)</t>
  </si>
  <si>
    <t>Elektrociepłownia</t>
  </si>
  <si>
    <t>ZW Nowa</t>
  </si>
  <si>
    <t>ZW Katowice</t>
  </si>
  <si>
    <t>ZW Bielsko-Biała</t>
  </si>
  <si>
    <t>EC-1</t>
  </si>
  <si>
    <t>EC-2</t>
  </si>
  <si>
    <t>Pozostałe źródła (ciepłownie lokalne i Kamienna Góra)</t>
  </si>
  <si>
    <t>-</t>
  </si>
  <si>
    <t>SEGMENT CIEPŁO</t>
  </si>
  <si>
    <t>Elektrownie wodne</t>
  </si>
  <si>
    <t>Farmy wiatrowe</t>
  </si>
  <si>
    <t>Zagórze</t>
  </si>
  <si>
    <t>Lipniki</t>
  </si>
  <si>
    <t>Marszewo</t>
  </si>
  <si>
    <t>Wicko</t>
  </si>
  <si>
    <t>SEGMENT OZE</t>
  </si>
  <si>
    <t>* moc zainstalowana</t>
  </si>
  <si>
    <t>GRUPA razem</t>
  </si>
  <si>
    <t>Wyniki segmentów</t>
  </si>
  <si>
    <t>Dane w tys. zł</t>
  </si>
  <si>
    <t>Przychody ze sprzedaży 
za I kwartał 2016 r.</t>
  </si>
  <si>
    <t>EBITDA 
za I kwartał 2016 r.</t>
  </si>
  <si>
    <t>EBIT 
za I kwartał 2016 r.</t>
  </si>
  <si>
    <t>Aktywa ogółem 
na dzień 31 marca 2016 r.</t>
  </si>
  <si>
    <t>Przychody ze sprzedaży 
2015 r.</t>
  </si>
  <si>
    <t>EBITDA 
2015 r.</t>
  </si>
  <si>
    <t>EBIT 
2015 r.</t>
  </si>
  <si>
    <t>Aktywa ogółem na dzień 
31 grudnia 2015 r.</t>
  </si>
  <si>
    <t>Przychody ze sprzedaży 
za IV kwartał 2015 r.</t>
  </si>
  <si>
    <t>EBITDA 
za IV kwartał 2015 r.</t>
  </si>
  <si>
    <t>EBIT 
za IV kwartał 2015 r.</t>
  </si>
  <si>
    <t>Przychody ze sprzedaży 
za 9M 2015 r.</t>
  </si>
  <si>
    <t>EBITDA 
za 9M 2015 r.</t>
  </si>
  <si>
    <t>EBIT 
za 9M 2015 r.</t>
  </si>
  <si>
    <t>Aktywa ogółem na dzień 
30 września 2015 r.</t>
  </si>
  <si>
    <t>Przychody ze sprzedaży 
za III kwartał 2015 r.</t>
  </si>
  <si>
    <t>EBITDA 
za III kwartał 2015 r.</t>
  </si>
  <si>
    <t>EBIT 
za III kwartał 2015 r.</t>
  </si>
  <si>
    <t>Przychody ze sprzedaży 
za I półrocze 2015 r.</t>
  </si>
  <si>
    <t>EBITDA 
za I półrocze 2015 r.</t>
  </si>
  <si>
    <t>EBIT 
za I półrocze 2015 r.</t>
  </si>
  <si>
    <t>Aktywa ogółem 
na dzień 30 czerwca 2015 r.</t>
  </si>
  <si>
    <t>Przychody ze sprzedaży 
za II kwartał 2015 r.</t>
  </si>
  <si>
    <t>EBITDA 
za II kwartał 2015 r.</t>
  </si>
  <si>
    <t>EBIT 
za II kwartał 2015 r.</t>
  </si>
  <si>
    <t>Przychody ze sprzedaży 
za I kwartał 2015 r.</t>
  </si>
  <si>
    <t>EBITDA 
za I kwartał 2015 r.</t>
  </si>
  <si>
    <t>EBIT 
za I kwartał 2015 r.</t>
  </si>
  <si>
    <t>Aktywa ogółem 
na dzień 31 marca 2015 r.</t>
  </si>
  <si>
    <t>Przychody ze sprzedaży za 2014 r.</t>
  </si>
  <si>
    <t>EBITDA 
za 2014 r.</t>
  </si>
  <si>
    <t>EBIT 
za 2014 r.</t>
  </si>
  <si>
    <t>Aktywa ogółem na dzień 31 grudnia 2014 r.</t>
  </si>
  <si>
    <t>Przychody ze sprzedaży 
za 9M 2014 r.</t>
  </si>
  <si>
    <t>EBITDA 
za 9M 2014 r.</t>
  </si>
  <si>
    <t>EBIT 
za 9M 2014 r.</t>
  </si>
  <si>
    <t>Aktywa ogółem na dzień 30 września 2014 r.</t>
  </si>
  <si>
    <t>Przychody ze sprzedaży za IH 2014 r.</t>
  </si>
  <si>
    <t>EBITDA 
za IH 2014 r.</t>
  </si>
  <si>
    <t>EBIT 
za IH 2014 r.</t>
  </si>
  <si>
    <t>Aktywa ogółem na dzień 30 czerwca 2014 r.</t>
  </si>
  <si>
    <t>Segment Wydobycie</t>
  </si>
  <si>
    <t>Segment Wytwarzanie</t>
  </si>
  <si>
    <t>Segment Dystrybucja</t>
  </si>
  <si>
    <t>Segment OZE</t>
  </si>
  <si>
    <t>Segment Sprzedaż</t>
  </si>
  <si>
    <t>Segment Ciepło</t>
  </si>
  <si>
    <t>Pozostałe</t>
  </si>
  <si>
    <t>Segment Obsługa Klienta</t>
  </si>
  <si>
    <t>Przychody ze sprzedaży 
2014 r.</t>
  </si>
  <si>
    <t>EBITDA 
2014 r.</t>
  </si>
  <si>
    <t>EBIT 
2014 r.</t>
  </si>
  <si>
    <t>Aktywa ogółem na dzień 
31 grudnia 2014 r.</t>
  </si>
  <si>
    <t>Przychody ze sprzedaży 
za IV kwartał 2014 r.</t>
  </si>
  <si>
    <t>EBITDA 
za IV kwartał 2014 r.</t>
  </si>
  <si>
    <t>EBIT 
za IV kwartał 2014 r.</t>
  </si>
  <si>
    <t>Aktywa ogółem na dzień 
30 września 2014 r.</t>
  </si>
  <si>
    <t>Przychody ze sprzedaży 
za III kwartał 2014 r.</t>
  </si>
  <si>
    <t>EBITDA 
za III kwartał 2014 r.</t>
  </si>
  <si>
    <t>EBIT 
za III kwartał 2014 r.</t>
  </si>
  <si>
    <t>Przychody ze sprzedaży 
za I półrocze 2014 r.</t>
  </si>
  <si>
    <t>EBITDA 
za I półrocze 2014 r.</t>
  </si>
  <si>
    <t>EBIT 
za I półrocze 2014 r.</t>
  </si>
  <si>
    <t>Aktywa ogółem 
na dzień 30 czerwca 2014 r.</t>
  </si>
  <si>
    <t>Przychody ze sprzedaży 
za II kwartał 2014 r.</t>
  </si>
  <si>
    <t>EBITDA 
za II kwartał 2014 r.</t>
  </si>
  <si>
    <t>EBIT 
za II kwartał 2014 r.</t>
  </si>
  <si>
    <t>Przychody ze sprzedaży 
za I kwartał 2014 r.</t>
  </si>
  <si>
    <t>EBITDA 
za I kwartał 2014 r.</t>
  </si>
  <si>
    <t>EBIT 
za I kwartał 2014 r.</t>
  </si>
  <si>
    <t>Aktywa ogółem 
na dzień 31 marca 2014 r.</t>
  </si>
  <si>
    <t>Przychody ze sprzedaży 
za 2013 r.</t>
  </si>
  <si>
    <t>EBITDA 
za 2013 r.</t>
  </si>
  <si>
    <t>EBIT 
za 2013 r.</t>
  </si>
  <si>
    <t>Aktywa ogółem na dzień 31 grudnia 2013 r.</t>
  </si>
  <si>
    <t>Przychody ze sprzedaży 
za 9M 2013 r.</t>
  </si>
  <si>
    <t>EBITDA 
za 9M 2013 r.</t>
  </si>
  <si>
    <t>EBIT 
za 9M 2013 r.</t>
  </si>
  <si>
    <t>Aktywa ogółem na dzień 30 września 2013 r.</t>
  </si>
  <si>
    <t>Przychody ze sprzedaży za IH 2013 r.</t>
  </si>
  <si>
    <t>EBITDA 
za IH 2013 r.</t>
  </si>
  <si>
    <t>EBIT 
za IH 2013 r.</t>
  </si>
  <si>
    <t>Aktywa ogółem na dzień 30 czerwca 2013 r.</t>
  </si>
  <si>
    <t>Przychody ze sprzedaży 
za IVQ 2014 r.</t>
  </si>
  <si>
    <t>EBITDA 
za IVQ 2014 r.</t>
  </si>
  <si>
    <t>EBIT 
za IVQ 2014 r.</t>
  </si>
  <si>
    <t>Przychody ze sprzedaży 
za IIIQ 2014 r.</t>
  </si>
  <si>
    <t>EBITDA 
za IIIQ 2014 r.</t>
  </si>
  <si>
    <t>EBIT 
za IIIQ 2014 r.</t>
  </si>
  <si>
    <t>Przychody ze sprzedaży za IIQ 2014 r.</t>
  </si>
  <si>
    <t>EBITDA 
za IIQ 2014 r.</t>
  </si>
  <si>
    <t>EBIT 
za IIQ 2014 r.</t>
  </si>
  <si>
    <t>Przychody ze sprzedaży 
za IVQ 2013 r.</t>
  </si>
  <si>
    <t>EBITDA 
za IVQ 2013 r.</t>
  </si>
  <si>
    <t>EBIT 
za IVQ 2013 r.</t>
  </si>
  <si>
    <t>Przychody ze sprzedaży 
za IIIQ 2013 r.</t>
  </si>
  <si>
    <t>EBITDA 
za IIIQ 2013 r.</t>
  </si>
  <si>
    <t>EBIT 
za IIIQ 2013 r.</t>
  </si>
  <si>
    <t>Przychody ze sprzedaży za IIQ 2013 r.</t>
  </si>
  <si>
    <t>EBITDA 
za IIQ 2013 r.</t>
  </si>
  <si>
    <t>EBIT 
za IIQ 2013 r.</t>
  </si>
  <si>
    <t>Nakłady inwestycyjne</t>
  </si>
  <si>
    <t>narastająco</t>
  </si>
  <si>
    <t>kwartał</t>
  </si>
  <si>
    <t>9M 2014 r.</t>
  </si>
  <si>
    <t>9M 2013 r.</t>
  </si>
  <si>
    <t>IH 2014 r.</t>
  </si>
  <si>
    <t>IH 2013 r.</t>
  </si>
  <si>
    <t>2012 r.</t>
  </si>
  <si>
    <t>Grupa</t>
  </si>
  <si>
    <t>IVQ 2014 r.</t>
  </si>
  <si>
    <t>IVQ 2013 r.</t>
  </si>
  <si>
    <t>IIIQ 2014 r.</t>
  </si>
  <si>
    <t>IIIQ 2013 r.</t>
  </si>
  <si>
    <t>IIQ 2014 r.</t>
  </si>
  <si>
    <t>IIQ 2013 r.</t>
  </si>
  <si>
    <t>Rachunek zysków i strat</t>
  </si>
  <si>
    <t xml:space="preserve">Nota
</t>
  </si>
  <si>
    <t xml:space="preserve">Przychody ze sprzedaży </t>
  </si>
  <si>
    <t>Koszt sprzedanych towarów, produktów, materiałów i usług</t>
  </si>
  <si>
    <t>Zysk brutto ze sprzedaży</t>
  </si>
  <si>
    <t>Koszty sprzedaży</t>
  </si>
  <si>
    <t>Koszty ogólnego zarządu</t>
  </si>
  <si>
    <t>Pozostałe przychody i koszty operacyjne</t>
  </si>
  <si>
    <t>Zysk operacyjny</t>
  </si>
  <si>
    <t>Udział w zyskach (stratach) wspólnych przedsięwzięć</t>
  </si>
  <si>
    <t>Przychody finansowe</t>
  </si>
  <si>
    <t>Koszty odsetkowe od zadłużenia</t>
  </si>
  <si>
    <t>Zysk przed opodatkowaniem</t>
  </si>
  <si>
    <t>Podatek dochodowy</t>
  </si>
  <si>
    <t xml:space="preserve">Zysk netto </t>
  </si>
  <si>
    <t>Wycena instrumentów zabezpieczających</t>
  </si>
  <si>
    <t>Różnice kursowe z przeliczenia jednostki zagranicznej</t>
  </si>
  <si>
    <t xml:space="preserve">Podatek dochodowy </t>
  </si>
  <si>
    <t>Pozostałe całkowite dochody podlegające przeklasyfikowaniu 
w wynik finansowy</t>
  </si>
  <si>
    <t xml:space="preserve">Zyski/(straty) aktuarialne </t>
  </si>
  <si>
    <t xml:space="preserve">Udział w pozostałych całkowitych dochodach wspólnych przedsięwzięć </t>
  </si>
  <si>
    <t>Pozostałe całkowite dochody nie podlegające przeklasyfikowaniu w wynik finansowy</t>
  </si>
  <si>
    <t>Pozostałe całkowite dochody netto</t>
  </si>
  <si>
    <t xml:space="preserve">Łączne całkowite dochody </t>
  </si>
  <si>
    <t>Zysk netto przypadający:</t>
  </si>
  <si>
    <t>Akcjonariuszom jednostki dominującej</t>
  </si>
  <si>
    <t>Udziałom niekontrolującym</t>
  </si>
  <si>
    <t>Całkowity dochód przypadający:</t>
  </si>
  <si>
    <t>Zysk na jedną akcję podstawowy i rozwodniony (w złotych)</t>
  </si>
  <si>
    <t>Bilans</t>
  </si>
  <si>
    <t>Nota</t>
  </si>
  <si>
    <t>Stan na 
31 grudnia 2015</t>
  </si>
  <si>
    <t>AKTYWA</t>
  </si>
  <si>
    <t>Aktywa trwałe</t>
  </si>
  <si>
    <t>Rzeczowe aktywa trwałe</t>
  </si>
  <si>
    <t>Wartość firmy</t>
  </si>
  <si>
    <t>Świadectwa energii i prawa do emisji gazów do umorzenia</t>
  </si>
  <si>
    <t>Pozostałe aktywa niematerialne</t>
  </si>
  <si>
    <t>Udziały i akcje we wspólnych przedsięwzięciach</t>
  </si>
  <si>
    <t>Pożyczki udzielone na rzecz wspólnych przedsięwzięć</t>
  </si>
  <si>
    <t>Pozostałe aktywa finansowe</t>
  </si>
  <si>
    <t>Pozostałe aktywa niefinansowe</t>
  </si>
  <si>
    <t>Aktywa z tytułu odroczonego podatku dochodowego</t>
  </si>
  <si>
    <t>Aktywa obrotowe</t>
  </si>
  <si>
    <t>Zapasy</t>
  </si>
  <si>
    <t xml:space="preserve">Należności od odbiorców </t>
  </si>
  <si>
    <t>Należności z tytułu podatków i opłat</t>
  </si>
  <si>
    <t>Środki pieniężne i ich ekwiwalenty</t>
  </si>
  <si>
    <t>Aktywa trwałe zaklasyfikowane jako przeznaczone do sprzedaży</t>
  </si>
  <si>
    <t>SUMA AKTYWÓW</t>
  </si>
  <si>
    <t>PASYWA</t>
  </si>
  <si>
    <t>Kapitał własny przypadający akcjonariuszom jednostki dominującej</t>
  </si>
  <si>
    <t>Kapitał podstawowy</t>
  </si>
  <si>
    <t>Kapitał zapasowy</t>
  </si>
  <si>
    <t>Kapitał z aktualizacji wyceny instrumentów zabezpieczających</t>
  </si>
  <si>
    <t>Zyski zatrzymane/(Niepokryte straty)</t>
  </si>
  <si>
    <t>Udziały niekontrolujące</t>
  </si>
  <si>
    <t>Kapitał własny ogółem</t>
  </si>
  <si>
    <t>Zobowiązania długoterminowe</t>
  </si>
  <si>
    <t>Zobowiązania z tytułu zadłużenia</t>
  </si>
  <si>
    <t>Rezerwy na świadczenia pracownicze</t>
  </si>
  <si>
    <t>Rezerwy na koszty demontażu środków trwałych i rekultywację terenu oraz pozostałe</t>
  </si>
  <si>
    <t>Rozliczenia międzyokresowe i dotacje rządowe</t>
  </si>
  <si>
    <t>Zobowiązania z tytułu odroczonego podatku dochodowego</t>
  </si>
  <si>
    <t>Pozostałe zobowiązania finansowe</t>
  </si>
  <si>
    <t>Zobowiązania krótkoterminowe</t>
  </si>
  <si>
    <t>Pochodne instrumenty finansowe</t>
  </si>
  <si>
    <t>Zobowiązania wobec dostawców</t>
  </si>
  <si>
    <t>Zobowiązania inwestycyjne</t>
  </si>
  <si>
    <t>Rezerwy na zobowiązania z tytułu świadectw pochodzenia energii i emisji gazów</t>
  </si>
  <si>
    <t>Pozostałe rezerwy</t>
  </si>
  <si>
    <t>Zobowiązania z tytułu podatków i opłat</t>
  </si>
  <si>
    <t>Pozostałe zobowiązania niefinansowe</t>
  </si>
  <si>
    <t>Zobowiązania razem</t>
  </si>
  <si>
    <t>SUMA PASYWÓW</t>
  </si>
  <si>
    <t>Rachunek przepływów pieniężnych</t>
  </si>
  <si>
    <t>Przepływy środków pieniężnych z działalności operacyjnej</t>
  </si>
  <si>
    <t>Udział w (zyskach)/stratach wspólnych przedsięwzięć</t>
  </si>
  <si>
    <t>Amortyzacja</t>
  </si>
  <si>
    <t>Odpisy aktualizujące wartość rzeczowych aktywów trwałych i aktywów niematerialnych</t>
  </si>
  <si>
    <t>Odsetki i prowizje</t>
  </si>
  <si>
    <t>Pozostałe korekty zysku przez opodatkowaniem</t>
  </si>
  <si>
    <t>Zmiana stanu kapitału obrotowego</t>
  </si>
  <si>
    <t>Podatek dochodowy zapłacony</t>
  </si>
  <si>
    <t xml:space="preserve">Środki pieniężne netto z działalności operacyjnej </t>
  </si>
  <si>
    <t>Przepływy środków pieniężnych z działalności inwestycyjnej</t>
  </si>
  <si>
    <t>Nabycie rzeczowych aktywów trwałych i aktywów niematerialnych</t>
  </si>
  <si>
    <t>Nabycie aktywów finansowych</t>
  </si>
  <si>
    <t>Udzielenie pożyczek</t>
  </si>
  <si>
    <t>Razem płatności</t>
  </si>
  <si>
    <t>Sprzedaż rzeczowych aktywów trwałych i aktywów niematerialnych</t>
  </si>
  <si>
    <t>Spłata udzielonych pożyczek</t>
  </si>
  <si>
    <t>Pozostałe wpływy</t>
  </si>
  <si>
    <t>Razem wpływy</t>
  </si>
  <si>
    <t>Środki pieniężne netto z działalności inwestycyjnej</t>
  </si>
  <si>
    <t>Przepływy środków pieniężnych z działalności finansowej</t>
  </si>
  <si>
    <t>Wykup dłużnych papierów wartościowych</t>
  </si>
  <si>
    <t>Spłata pożyczek/kredytów</t>
  </si>
  <si>
    <t>Odsetki zapłacone</t>
  </si>
  <si>
    <t>Zwrot pomocy publicznej</t>
  </si>
  <si>
    <t>Pozostałe płatności</t>
  </si>
  <si>
    <t>Emisja dłużnych papierów wartościowych</t>
  </si>
  <si>
    <t>Otrzymane dotacje</t>
  </si>
  <si>
    <t>Środki pieniężne netto z działalności finansowej</t>
  </si>
  <si>
    <t xml:space="preserve">Zwiększenie/(zmniejszenie) netto stanu środków pieniężnych i ich 
ekwiwalentów </t>
  </si>
  <si>
    <t>Różnice kursowe netto</t>
  </si>
  <si>
    <t>Środki pieniężne na początek okresu</t>
  </si>
  <si>
    <t>o ograniczonej możliwości dysponowania</t>
  </si>
  <si>
    <t>Historyczne dane kwartalne</t>
  </si>
  <si>
    <t>I kwartał 2010 r.</t>
  </si>
  <si>
    <t>II kwartał 2010 r.</t>
  </si>
  <si>
    <t>III kwartał 2010 r.</t>
  </si>
  <si>
    <t>IV kwartał 2010 r.</t>
  </si>
  <si>
    <t>I kwartał 2011 r.</t>
  </si>
  <si>
    <t>II kwartał 2011 r.</t>
  </si>
  <si>
    <t>III kwartał 2011 r.</t>
  </si>
  <si>
    <t>IV kwartał 2011 r.
(dane przekształcone)</t>
  </si>
  <si>
    <t>I kwartał 2012 r.
(dane przekształcone)</t>
  </si>
  <si>
    <t>II kwartał 2012 r.
(dane przekształcone)</t>
  </si>
  <si>
    <t>III kwartał 2012 r. 
(dane przekształcone)</t>
  </si>
  <si>
    <t>IV kwartał 2012 r.
(dane przekształcone)</t>
  </si>
  <si>
    <t>I kwartał 2013 r.
(dane przekształcone)</t>
  </si>
  <si>
    <t>II kwartał 2013 r.
(dane przekształcone)</t>
  </si>
  <si>
    <t>III kwartał 2013 r.
(dane przekształcone)</t>
  </si>
  <si>
    <t>IV kwartał 2013</t>
  </si>
  <si>
    <t>I kwartał 2014</t>
  </si>
  <si>
    <t>II kwartał 2014</t>
  </si>
  <si>
    <t>III kwartał 2014</t>
  </si>
  <si>
    <t>IV kwartał 2014</t>
  </si>
  <si>
    <t>I kwartał 2015</t>
  </si>
  <si>
    <t>II kwartał 2015</t>
  </si>
  <si>
    <t>III kwartał 2015</t>
  </si>
  <si>
    <t>IV kwartał 2015</t>
  </si>
  <si>
    <t>I kwartał 2016</t>
  </si>
  <si>
    <t>Zysk (strata) ze sprzedaży</t>
  </si>
  <si>
    <t xml:space="preserve">Pozostałe przychody operacyjne </t>
  </si>
  <si>
    <t>Pozostałe koszty operacyjne</t>
  </si>
  <si>
    <t>Zysk (strata) operacyjna</t>
  </si>
  <si>
    <t>Koszty finansowe</t>
  </si>
  <si>
    <t>Udział w zysku/(stracie) wspólnych przedsięwzięć</t>
  </si>
  <si>
    <t>Zysk (strata) brutto</t>
  </si>
  <si>
    <t>Zysk (strata) netto za rok obrotowy</t>
  </si>
  <si>
    <t>Pozostałe całkowite dochody:</t>
  </si>
  <si>
    <t>Wycena aktywów finansowych dostępnych do sprzedaży</t>
  </si>
  <si>
    <t>Zmiana wartości instrumentów zabezpieczających</t>
  </si>
  <si>
    <t>Zyski/(straty) aktuarialne dotyczące rezerw na świadczenia pracownicze po okresie zatrudnienia</t>
  </si>
  <si>
    <t>(*)</t>
  </si>
  <si>
    <t>Podatek dochodowy odnoszący się do elementów pozostałych całkowitych 
dochodów</t>
  </si>
  <si>
    <t>Pozostałe całkowite dochody za rok obrotowy, po uwzględnieniu podatku</t>
  </si>
  <si>
    <t>Całkowite dochody za rok obrotowy</t>
  </si>
  <si>
    <t>Zysk (strata) przypadająca:</t>
  </si>
  <si>
    <t>Zysk (strata) na jedną akcję (w złotych):</t>
  </si>
  <si>
    <t>– podstawowy i rozwodniony z zysku netto przypadającego akcjonariuszom jednostki dominującej</t>
  </si>
  <si>
    <t>Dane w tys. Zł</t>
  </si>
  <si>
    <t>31 marca 2010 r.</t>
  </si>
  <si>
    <t>30 czerwca 2010 r.</t>
  </si>
  <si>
    <t>30 września 2010 r.</t>
  </si>
  <si>
    <t>31 grudnia 2010 r.
(dane przekształcone)</t>
  </si>
  <si>
    <t>31 marca 2011 r.</t>
  </si>
  <si>
    <t>30 czerwca 2011 r.</t>
  </si>
  <si>
    <t>30 września 2011 r.</t>
  </si>
  <si>
    <t>31 grudnia 2011 r.
(dane przekształcone)</t>
  </si>
  <si>
    <t>31 marca 2012 r.</t>
  </si>
  <si>
    <t>30 czerwca 2012 r.</t>
  </si>
  <si>
    <t>30 września 2012 r.</t>
  </si>
  <si>
    <t>31 grudnia 2012 r.
(dane przekształcone)</t>
  </si>
  <si>
    <t>31 marca 2013 r.</t>
  </si>
  <si>
    <t>30 czerwca 2013 r.</t>
  </si>
  <si>
    <t>30 września 2013 r.</t>
  </si>
  <si>
    <t>31 grudnia 2013</t>
  </si>
  <si>
    <t>31 marca 2014 r.</t>
  </si>
  <si>
    <t>30 czerwca 2014</t>
  </si>
  <si>
    <t>30 września 2014</t>
  </si>
  <si>
    <t>31 grudnia 2014</t>
  </si>
  <si>
    <t>31 marca 2015</t>
  </si>
  <si>
    <t>30 czerwca 2015</t>
  </si>
  <si>
    <t>30 września 2015</t>
  </si>
  <si>
    <t>31 grudnia 2015</t>
  </si>
  <si>
    <t>31 marca 2016</t>
  </si>
  <si>
    <t>550 581 (****)</t>
  </si>
  <si>
    <t>660 828(****)</t>
  </si>
  <si>
    <t>790 551(****)</t>
  </si>
  <si>
    <t>346 340 (****)</t>
  </si>
  <si>
    <t>785 201(****)</t>
  </si>
  <si>
    <t>866 286(****)</t>
  </si>
  <si>
    <t>1 058 422(****)</t>
  </si>
  <si>
    <t>986 863(****)</t>
  </si>
  <si>
    <t>1 015 259(****)</t>
  </si>
  <si>
    <t>1 022 305(****)</t>
  </si>
  <si>
    <t>614 055(****)</t>
  </si>
  <si>
    <t>1 487 687(****)</t>
  </si>
  <si>
    <t>1 518 253(****)</t>
  </si>
  <si>
    <t xml:space="preserve">Aktywa niematerialne </t>
  </si>
  <si>
    <t xml:space="preserve">Udziały i akcje we wspólnych przedsięwzięciach </t>
  </si>
  <si>
    <t>Aktywa z tytułu podatku odroczonego</t>
  </si>
  <si>
    <t>Aktywa niematerialne</t>
  </si>
  <si>
    <t>Należności z tytułu podatku dochodowego</t>
  </si>
  <si>
    <t>Należności z tytułu dostaw i usług oraz pozostałe należności</t>
  </si>
  <si>
    <t>Aktywa trwałe i aktywa grupy do zbycia zaklasyfikowane jako przeznaczone do sprzedaży</t>
  </si>
  <si>
    <t>Kapitał z aktualizacji wyceny aktywów finansowych dostępnych do sprzedaży</t>
  </si>
  <si>
    <t>Zyski zatrzymane/Niepokryte straty</t>
  </si>
  <si>
    <t>Kredyty, pożyczki i dłużne papiery wartościowe</t>
  </si>
  <si>
    <t>Zobowiązania z tytułu leasingu finansowego</t>
  </si>
  <si>
    <t>Zobowiązania z tytułu dostaw i usług i pozostałe zobowiązania 
finansowe</t>
  </si>
  <si>
    <t>Instrumenty pochodne</t>
  </si>
  <si>
    <t>(**)</t>
  </si>
  <si>
    <t>990 819 (***)</t>
  </si>
  <si>
    <t>993 588 (***)</t>
  </si>
  <si>
    <t>1 008 639 (***)</t>
  </si>
  <si>
    <t>1 079 754 (***)</t>
  </si>
  <si>
    <t>1 085 313 (***)</t>
  </si>
  <si>
    <t>1 105 630 (***)</t>
  </si>
  <si>
    <t>1 215 105 (***)</t>
  </si>
  <si>
    <t>1 194 265 (***)</t>
  </si>
  <si>
    <t>1 199 581 (***)</t>
  </si>
  <si>
    <t xml:space="preserve">Pozostałe rezerwy </t>
  </si>
  <si>
    <t>Zobowiązanie z tytułu odroczonego podatku dochodowego</t>
  </si>
  <si>
    <t>Bieżąca część kredytów, pożyczek i dłużnych papierów 
wartościowych</t>
  </si>
  <si>
    <t>Bieżąca część zobowiązań z tytułu leasingu finansowego</t>
  </si>
  <si>
    <t>Zobowiązania z tytułu dostaw i usług i pozostałe zobowiązania</t>
  </si>
  <si>
    <t>476 467 (***)</t>
  </si>
  <si>
    <t>717 935 (***)</t>
  </si>
  <si>
    <t>923 058 (***)</t>
  </si>
  <si>
    <t>693 803 (***)</t>
  </si>
  <si>
    <t>914 996 (***)</t>
  </si>
  <si>
    <t>958 252 (***)</t>
  </si>
  <si>
    <t>973 045 (***)</t>
  </si>
  <si>
    <t>858 332 (***)</t>
  </si>
  <si>
    <t>952 508 (***)</t>
  </si>
  <si>
    <t>Zobowiązania z tytułu podatku dochodowego</t>
  </si>
  <si>
    <t>Zobowiązania grupy do zbycia zaklasyfikowanej jako przeznaczone do sprzedaży</t>
  </si>
  <si>
    <t>III kwartał 2012 r.
(dane przekształcone)</t>
  </si>
  <si>
    <t>Korekty o pozycje:</t>
  </si>
  <si>
    <t>Udział w zyskach/(stratach) wspólnych przedsięwzięć</t>
  </si>
  <si>
    <t>(Zysk)/strata z tytułu różnic kursowych</t>
  </si>
  <si>
    <t>Odsetki i dywidendy, netto</t>
  </si>
  <si>
    <t>(Zysk)/strata na działalności inwestycyjnej</t>
  </si>
  <si>
    <t>Zmiana stanu należności</t>
  </si>
  <si>
    <t>Zmiana stanu zapasów</t>
  </si>
  <si>
    <t>Zmiana stanu zobowiązań z wyjątkiem kredytów i pożyczek</t>
  </si>
  <si>
    <t>Zmiana stanu pozostałych aktywów długo- i krótkoterminowych</t>
  </si>
  <si>
    <t xml:space="preserve">Zmiana stanu rozliczeń międzyokresowych przychodów i dotacji rządowych </t>
  </si>
  <si>
    <t>Zmiana stanu rezerw</t>
  </si>
  <si>
    <t>Sprzedaż/wykup obligacji i innych dłużnych papierów wartościowych</t>
  </si>
  <si>
    <t>Sprzedaż innych aktywów finansowych</t>
  </si>
  <si>
    <t>Zaliczka na zakup akcji jednostki zależnej</t>
  </si>
  <si>
    <t>Nabycie innych aktywów finansowych</t>
  </si>
  <si>
    <t>Nabycie udziałów i akcji w jednostkach stowarzyszonych i wspólnych przedsięwzięciach wykazywanych metodą praw własności</t>
  </si>
  <si>
    <t>Przejęcie jednostek zależnych po potrąceniu przejętych środków pieniężnych</t>
  </si>
  <si>
    <t>Dywidendy otrzymane</t>
  </si>
  <si>
    <t>Odsetki otrzymane</t>
  </si>
  <si>
    <t>Spłata zobowiązań z tytułu leasingu finansowego</t>
  </si>
  <si>
    <t>Wpływy z tytułu zaciągnięcia pożyczek/kredytów</t>
  </si>
  <si>
    <t>Dywidendy wypłacone akcjonariuszom jednostki dominującej</t>
  </si>
  <si>
    <t>Dywidendy wypłacone udziałowcom niekontrolującym</t>
  </si>
  <si>
    <t>Nabycie udziałów niekontrolujących</t>
  </si>
  <si>
    <t>Środki pieniężne na koniec okresu, w tym:</t>
  </si>
  <si>
    <t>Grupa prezentuje przekształcone dane wynikające ze zmian polityki rachunkowości wyłącznie w zakresie, w jakim zostały opublikowane.</t>
  </si>
  <si>
    <t>Grupa prezentuje przekształcone dane wynikające ze zmian polityki rachunkowości wyłącznie w zakresie, w jakim zostały opublikowane</t>
  </si>
  <si>
    <t>Grupa nie prezentowała instrumentów pochodnych jako odrębnej pozycji sprawozdania z sytuacji finansowej.</t>
  </si>
  <si>
    <t>Grupa nie prezentowała instrumentów pochodnych jako odrębnej pozycji sprawozdania z sytuacji finansowej</t>
  </si>
  <si>
    <t>(***)</t>
  </si>
  <si>
    <t>Grupa prezentowała łącznie dane dotyczące rezerw na świadczenia pracownicze i pozostałych rezerw.</t>
  </si>
  <si>
    <t>Grupa prezentowała łącznie dane dotyczące rezerw na świadczenia pracownicze i pozostałych rezerw</t>
  </si>
  <si>
    <t>(****)</t>
  </si>
  <si>
    <t>Grupa prezentowała łącznie dane dotyczące aktywów niematerialnych i wartości firmy</t>
  </si>
  <si>
    <t>Historyczne dane półroczne</t>
  </si>
  <si>
    <t>I półrocze 2010 r.</t>
  </si>
  <si>
    <t>II półrocze 2010 r.</t>
  </si>
  <si>
    <t>I półrocze 2011 r.</t>
  </si>
  <si>
    <t>II półrocze 2011 r.
(dane przekształcone)</t>
  </si>
  <si>
    <t>I półrocze 2012 r.
(dane przekształcone)</t>
  </si>
  <si>
    <t>II półrocze 2012 r.
(dane przekształcone)</t>
  </si>
  <si>
    <t>I półrocze 2013 r.
(dane przekształcone)</t>
  </si>
  <si>
    <t>II półrocze 2013</t>
  </si>
  <si>
    <t>II półrocze 2014</t>
  </si>
  <si>
    <t>I półrocze 2015</t>
  </si>
  <si>
    <t>II półrocze 2015</t>
  </si>
  <si>
    <t>30 czerwca 2013</t>
  </si>
  <si>
    <t>660 828 (****)</t>
  </si>
  <si>
    <t>866 286 (****)</t>
  </si>
  <si>
    <t>1 015 259 (****)</t>
  </si>
  <si>
    <t>1 487 687 (****)</t>
  </si>
  <si>
    <t>Rezerwa z tytułu odroczonego podatku dochodowego</t>
  </si>
  <si>
    <t>II półrocze 2011 r.
(dane przekształcone</t>
  </si>
  <si>
    <t>II półrocze 2014 r.</t>
  </si>
  <si>
    <t>II półrocze 2015 r.</t>
  </si>
  <si>
    <t xml:space="preserve">Zmiana stanu rozliczeń międzyokresowych  i dotacji rządowych </t>
  </si>
  <si>
    <t xml:space="preserve">Nabycie udziałów i akcji we wspólnych przedsięwzięciach </t>
  </si>
  <si>
    <t>Historyczne dane roczne</t>
  </si>
  <si>
    <t>Rok zakończony             31 grudnia 2009 r.
(dane przekształcone)</t>
  </si>
  <si>
    <t>Rok zakończony             31 grudnia 2010 r.</t>
  </si>
  <si>
    <t>Rok zakończony             31 grudnia 2011 r.
(dane przekształcone)</t>
  </si>
  <si>
    <t>Rok zakończony
31 grudnia 2012 r.
(dane przekształcone)</t>
  </si>
  <si>
    <t>Rok zakończony             31 grudnia 2013 r.</t>
  </si>
  <si>
    <t>Rok zakończony             31 grudnia 2014 r.</t>
  </si>
  <si>
    <t>Rok zakończony             31 grudnia 2015 r.</t>
  </si>
  <si>
    <t>31 grudnia 2009 r.
(dane przekształcone)</t>
  </si>
  <si>
    <t>31 grudnia 2013 r.</t>
  </si>
  <si>
    <t>31 grudnia 2014 r.</t>
  </si>
  <si>
    <t>31 grudnia 2015 r.</t>
  </si>
  <si>
    <t>342 866 (****)</t>
  </si>
  <si>
    <t>978 807 (***)</t>
  </si>
  <si>
    <t>937 990 (***)</t>
  </si>
  <si>
    <t>Koszty z tytułu płatności w formie akcji własnych</t>
  </si>
  <si>
    <t>Sprzedaż obligacji i innych dłużnych papierów wartościowych</t>
  </si>
  <si>
    <t>Nabycie udziałów i akcji we wspólnych przedsięwzięciach wykazywanych metodą praw własności</t>
  </si>
  <si>
    <t>Inne wydatki na rzecz właścicieli</t>
  </si>
  <si>
    <t>Wpływy z tytułu zaciągnięcia kredytów/pożyczek</t>
  </si>
  <si>
    <t>II kwartał 2016</t>
  </si>
  <si>
    <t>30 czerwca 2016</t>
  </si>
  <si>
    <t>I półrocze 2016</t>
  </si>
  <si>
    <t>I półrocze 2016 r.</t>
  </si>
  <si>
    <t>II kwartał 
2016 r.</t>
  </si>
  <si>
    <t>II kwartał 
2015 r.</t>
  </si>
  <si>
    <t>I półrocze 
2016 r.</t>
  </si>
  <si>
    <t>I półrocze 
2015 r.</t>
  </si>
  <si>
    <t>Przychody ze sprzedaży 
za I półrocze 2016 r.</t>
  </si>
  <si>
    <t>EBITDA 
za I półrocze 2016 r.</t>
  </si>
  <si>
    <t>EBIT 
za I półrocze 2016 r.</t>
  </si>
  <si>
    <t>Aktywa ogółem 
na dzień 30 czerwca 2016 r.</t>
  </si>
  <si>
    <t>Przychody ze sprzedaży 
za II kwartał 2016 r.</t>
  </si>
  <si>
    <t>EBITDA 
za II kwartał 2016 r.</t>
  </si>
  <si>
    <t>EBIT 
za II kwartał 2016 r.</t>
  </si>
  <si>
    <t>I półrocze  
2015 r.</t>
  </si>
  <si>
    <t>ZW Tychy (BC-50)</t>
  </si>
  <si>
    <r>
      <t xml:space="preserve">Okres 9 miesięcy 
zakończony 
30 września 2016 </t>
    </r>
    <r>
      <rPr>
        <i/>
        <sz val="10"/>
        <rFont val="Arial"/>
        <family val="2"/>
        <charset val="238"/>
      </rPr>
      <t>(niebadane)</t>
    </r>
  </si>
  <si>
    <r>
      <t xml:space="preserve">Okres 9 miesięcy 
zakończony 
30 września 2015 </t>
    </r>
    <r>
      <rPr>
        <i/>
        <sz val="10"/>
        <rFont val="Arial"/>
        <family val="2"/>
        <charset val="238"/>
      </rPr>
      <t>(niebadane)</t>
    </r>
  </si>
  <si>
    <t>III kwartał 2016</t>
  </si>
  <si>
    <t>30 września 2016</t>
  </si>
  <si>
    <t>Pozostałe przychody i koszty finansowe</t>
  </si>
  <si>
    <t>18.1</t>
  </si>
  <si>
    <t>23.1</t>
  </si>
  <si>
    <t>14.2</t>
  </si>
  <si>
    <t>18.2</t>
  </si>
  <si>
    <t>23.2</t>
  </si>
  <si>
    <t>28.1</t>
  </si>
  <si>
    <t>28.2</t>
  </si>
  <si>
    <t>28.3</t>
  </si>
  <si>
    <t>28.4</t>
  </si>
  <si>
    <t>39.1</t>
  </si>
  <si>
    <t>39.2</t>
  </si>
  <si>
    <t>39.3</t>
  </si>
  <si>
    <r>
      <t xml:space="preserve">Środki pieniężne na koniec okresu, </t>
    </r>
    <r>
      <rPr>
        <b/>
        <i/>
        <sz val="10"/>
        <rFont val="Arial"/>
        <family val="2"/>
        <charset val="238"/>
      </rPr>
      <t>w tym:</t>
    </r>
  </si>
  <si>
    <r>
      <t xml:space="preserve">
Stan na 
30 września 2016
</t>
    </r>
    <r>
      <rPr>
        <i/>
        <sz val="10"/>
        <rFont val="Arial"/>
        <family val="2"/>
        <charset val="238"/>
      </rPr>
      <t>(niebadane)</t>
    </r>
    <r>
      <rPr>
        <sz val="10"/>
        <rFont val="Arial"/>
        <family val="2"/>
        <charset val="238"/>
      </rPr>
      <t xml:space="preserve">
</t>
    </r>
  </si>
  <si>
    <r>
      <t>Okres 9 miesięcy 
zakończony 
30 września 2016</t>
    </r>
    <r>
      <rPr>
        <i/>
        <sz val="10"/>
        <rFont val="Arial"/>
        <family val="2"/>
        <charset val="238"/>
      </rPr>
      <t xml:space="preserve"> (niebadane)</t>
    </r>
  </si>
  <si>
    <r>
      <t xml:space="preserve">Okres 9 miesięcy 
zakończony 
30 września 2015 
</t>
    </r>
    <r>
      <rPr>
        <i/>
        <sz val="10"/>
        <rFont val="Arial"/>
        <family val="2"/>
        <charset val="238"/>
      </rPr>
      <t>(dane przekształcone niebadane)</t>
    </r>
  </si>
  <si>
    <t>Za okres
9 miesięcy 2016 r.</t>
  </si>
  <si>
    <t>III kwartał 
2016 r.</t>
  </si>
  <si>
    <t>III kwartał 
2015 r.</t>
  </si>
  <si>
    <t>Przychody ze sprzedaży 
za 9M 2016 r.</t>
  </si>
  <si>
    <t>EBITDA 
za 9M 2016 r.</t>
  </si>
  <si>
    <t>EBIT 
za 9M 2016 r.</t>
  </si>
  <si>
    <t>Aktywa ogółem na dzień 
30 września 2016 r.</t>
  </si>
  <si>
    <t>Przychody ze sprzedaży 
za III kwartał 2016 r.</t>
  </si>
  <si>
    <t>EBITDA 
za III kwartał 2016 r.</t>
  </si>
  <si>
    <t>EBIT 
za III kwartał 2016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</si>
</sst>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z_ł_-;\-* #,##0.00\ _z_ł_-;_-* &quot;-&quot;??\ _z_ł_-;_-@_-"/>
    <numFmt numFmtId="164" formatCode="#,##0_);[Red]\(#,##0\)"/>
    <numFmt numFmtId="165" formatCode="_-* #,##0\ _z_ł_-;\-* #,##0\ _z_ł_-;_-* &quot;-&quot;??\ _z_ł_-;_-@_-"/>
    <numFmt numFmtId="166" formatCode="0.0"/>
    <numFmt numFmtId="167" formatCode="_-* #,##0&quot;   &quot;;[Black]\(#,##0\)&quot;  &quot;;&quot;-   &quot;"/>
    <numFmt numFmtId="168" formatCode="#,##0_);[Black]\(#,##0\)"/>
    <numFmt numFmtId="169" formatCode="_-* #,##0.00&quot;   &quot;;[Red]\(#,##0.00\)&quot;  &quot;;&quot;-   &quot;"/>
    <numFmt numFmtId="170" formatCode="_-* #,##0&quot;   &quot;;[Red]\(#,##0\)&quot;  &quot;;&quot;-   &quot;"/>
    <numFmt numFmtId="171" formatCode="#,##0.00_);[Red]\(#,##0.00\)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rgb="FF4B4B4B"/>
      <name val="Arial"/>
      <family val="2"/>
      <charset val="238"/>
    </font>
    <font>
      <sz val="12"/>
      <color rgb="FF4B4B4B"/>
      <name val="Arial"/>
      <family val="2"/>
      <charset val="238"/>
    </font>
    <font>
      <sz val="10"/>
      <color rgb="FF4B4B4B"/>
      <name val="Arial"/>
      <family val="2"/>
      <charset val="238"/>
    </font>
    <font>
      <b/>
      <sz val="10"/>
      <color rgb="FF4B4B4B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b/>
      <sz val="11"/>
      <color rgb="FF4B4B4B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 tint="0.249977111117893"/>
      <name val="Arial"/>
      <family val="2"/>
      <charset val="238"/>
    </font>
    <font>
      <b/>
      <sz val="10"/>
      <color theme="0" tint="-0.249977111117893"/>
      <name val="Arial"/>
      <family val="2"/>
      <charset val="238"/>
    </font>
    <font>
      <sz val="10"/>
      <color theme="0" tint="-0.249977111117893"/>
      <name val="Arial"/>
      <family val="2"/>
      <charset val="238"/>
    </font>
    <font>
      <sz val="10"/>
      <color theme="0" tint="-0.249977111117893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0"/>
      <name val="Arial"/>
      <family val="2"/>
      <charset val="238"/>
    </font>
    <font>
      <b/>
      <sz val="12"/>
      <color rgb="FF4B4B4B"/>
      <name val="Arial"/>
      <family val="2"/>
      <charset val="238"/>
    </font>
    <font>
      <b/>
      <sz val="10"/>
      <color theme="1" tint="0.249977111117893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2"/>
      <color theme="0"/>
      <name val="Calibri"/>
      <family val="2"/>
      <charset val="238"/>
      <scheme val="minor"/>
    </font>
    <font>
      <sz val="9"/>
      <color theme="1" tint="0.34998626667073579"/>
      <name val="Calibri"/>
      <family val="2"/>
      <charset val="238"/>
      <scheme val="minor"/>
    </font>
    <font>
      <sz val="12"/>
      <color theme="1" tint="0.249977111117893"/>
      <name val="Calibri"/>
      <family val="2"/>
      <charset val="238"/>
      <scheme val="minor"/>
    </font>
    <font>
      <b/>
      <sz val="10"/>
      <color theme="1" tint="0.34998626667073579"/>
      <name val="Arial"/>
      <family val="2"/>
      <charset val="238"/>
    </font>
    <font>
      <b/>
      <sz val="8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6"/>
      <name val="Arial"/>
      <family val="2"/>
      <charset val="238"/>
    </font>
    <font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2007A"/>
        <bgColor indexed="64"/>
      </patternFill>
    </fill>
    <fill>
      <patternFill patternType="solid">
        <fgColor rgb="FFE2007A"/>
        <bgColor rgb="FF00000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E2007A"/>
      </bottom>
      <diagonal/>
    </border>
    <border>
      <left/>
      <right/>
      <top style="thin">
        <color rgb="FFE2007A"/>
      </top>
      <bottom/>
      <diagonal/>
    </border>
    <border>
      <left/>
      <right/>
      <top style="thin">
        <color rgb="FF949494"/>
      </top>
      <bottom/>
      <diagonal/>
    </border>
    <border>
      <left/>
      <right/>
      <top/>
      <bottom style="thin">
        <color rgb="FF949494"/>
      </bottom>
      <diagonal/>
    </border>
    <border>
      <left/>
      <right/>
      <top style="thin">
        <color rgb="FF949494"/>
      </top>
      <bottom style="thin">
        <color rgb="FF949494"/>
      </bottom>
      <diagonal/>
    </border>
    <border>
      <left/>
      <right/>
      <top style="thin">
        <color rgb="FFE2007A"/>
      </top>
      <bottom style="thin">
        <color rgb="FF949494"/>
      </bottom>
      <diagonal/>
    </border>
    <border>
      <left/>
      <right/>
      <top style="thin">
        <color rgb="FFE2007A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rgb="FFE2007A"/>
      </top>
      <bottom style="thin">
        <color rgb="FFE2007A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rgb="FF4B4B4B"/>
      </top>
      <bottom style="thin">
        <color rgb="FF4B4B4B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rgb="FF5E5E5E"/>
      </top>
      <bottom/>
      <diagonal/>
    </border>
    <border>
      <left/>
      <right/>
      <top style="thin">
        <color rgb="FF5E5E5E"/>
      </top>
      <bottom style="thin">
        <color rgb="FF5E5E5E"/>
      </bottom>
      <diagonal/>
    </border>
    <border>
      <left/>
      <right/>
      <top style="thin">
        <color theme="0" tint="-0.499984740745262"/>
      </top>
      <bottom style="thin">
        <color rgb="FF5E5E5E"/>
      </bottom>
      <diagonal/>
    </border>
    <border>
      <left/>
      <right/>
      <top style="thin">
        <color rgb="FF949494"/>
      </top>
      <bottom style="thin">
        <color theme="0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4">
    <xf numFmtId="0" fontId="0" fillId="0" borderId="0" xfId="0"/>
    <xf numFmtId="0" fontId="2" fillId="2" borderId="1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0" fontId="3" fillId="2" borderId="1" xfId="0" applyFont="1" applyFill="1" applyBorder="1" applyAlignment="1"/>
    <xf numFmtId="0" fontId="0" fillId="2" borderId="0" xfId="0" applyFill="1" applyAlignment="1">
      <alignment vertical="center"/>
    </xf>
    <xf numFmtId="0" fontId="4" fillId="2" borderId="0" xfId="0" applyFont="1" applyFill="1"/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4" fillId="2" borderId="0" xfId="1" applyNumberFormat="1" applyFont="1" applyFill="1" applyBorder="1"/>
    <xf numFmtId="0" fontId="0" fillId="2" borderId="0" xfId="0" applyFill="1"/>
    <xf numFmtId="0" fontId="0" fillId="2" borderId="0" xfId="0" applyFont="1" applyFill="1"/>
    <xf numFmtId="0" fontId="4" fillId="2" borderId="3" xfId="0" applyFont="1" applyFill="1" applyBorder="1"/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3" fontId="5" fillId="2" borderId="3" xfId="1" applyNumberFormat="1" applyFont="1" applyFill="1" applyBorder="1"/>
    <xf numFmtId="3" fontId="4" fillId="2" borderId="0" xfId="0" applyNumberFormat="1" applyFont="1" applyFill="1" applyBorder="1"/>
    <xf numFmtId="3" fontId="4" fillId="2" borderId="3" xfId="1" applyNumberFormat="1" applyFont="1" applyFill="1" applyBorder="1"/>
    <xf numFmtId="0" fontId="4" fillId="2" borderId="0" xfId="0" applyFont="1" applyFill="1" applyBorder="1"/>
    <xf numFmtId="3" fontId="5" fillId="2" borderId="0" xfId="0" applyNumberFormat="1" applyFont="1" applyFill="1"/>
    <xf numFmtId="3" fontId="4" fillId="2" borderId="0" xfId="0" applyNumberFormat="1" applyFont="1" applyFill="1"/>
    <xf numFmtId="164" fontId="6" fillId="2" borderId="0" xfId="0" applyNumberFormat="1" applyFont="1" applyFill="1"/>
    <xf numFmtId="4" fontId="4" fillId="2" borderId="0" xfId="0" applyNumberFormat="1" applyFont="1" applyFill="1" applyBorder="1"/>
    <xf numFmtId="0" fontId="4" fillId="2" borderId="4" xfId="0" applyFont="1" applyFill="1" applyBorder="1"/>
    <xf numFmtId="0" fontId="4" fillId="2" borderId="4" xfId="0" applyFont="1" applyFill="1" applyBorder="1" applyAlignment="1">
      <alignment horizontal="center" vertical="center"/>
    </xf>
    <xf numFmtId="4" fontId="5" fillId="2" borderId="4" xfId="0" applyNumberFormat="1" applyFont="1" applyFill="1" applyBorder="1"/>
    <xf numFmtId="165" fontId="4" fillId="2" borderId="0" xfId="1" applyNumberFormat="1" applyFont="1" applyFill="1" applyBorder="1"/>
    <xf numFmtId="4" fontId="4" fillId="2" borderId="4" xfId="0" applyNumberFormat="1" applyFont="1" applyFill="1" applyBorder="1"/>
    <xf numFmtId="0" fontId="4" fillId="2" borderId="0" xfId="0" applyFont="1" applyFill="1" applyAlignment="1">
      <alignment horizontal="center" vertical="center"/>
    </xf>
    <xf numFmtId="165" fontId="4" fillId="2" borderId="0" xfId="1" applyNumberFormat="1" applyFont="1" applyFill="1"/>
    <xf numFmtId="4" fontId="4" fillId="2" borderId="0" xfId="1" applyNumberFormat="1" applyFont="1" applyFill="1" applyBorder="1"/>
    <xf numFmtId="0" fontId="0" fillId="2" borderId="0" xfId="0" applyFont="1" applyFill="1" applyBorder="1"/>
    <xf numFmtId="0" fontId="0" fillId="2" borderId="0" xfId="0" applyFill="1" applyBorder="1"/>
    <xf numFmtId="166" fontId="4" fillId="2" borderId="0" xfId="0" applyNumberFormat="1" applyFont="1" applyFill="1" applyBorder="1"/>
    <xf numFmtId="3" fontId="4" fillId="2" borderId="0" xfId="0" applyNumberFormat="1" applyFont="1" applyFill="1" applyBorder="1" applyAlignment="1">
      <alignment horizontal="right"/>
    </xf>
    <xf numFmtId="0" fontId="4" fillId="2" borderId="5" xfId="0" applyFont="1" applyFill="1" applyBorder="1"/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2" fontId="4" fillId="2" borderId="0" xfId="0" applyNumberFormat="1" applyFont="1" applyFill="1" applyBorder="1"/>
    <xf numFmtId="2" fontId="5" fillId="2" borderId="3" xfId="0" applyNumberFormat="1" applyFont="1" applyFill="1" applyBorder="1"/>
    <xf numFmtId="2" fontId="4" fillId="2" borderId="3" xfId="0" applyNumberFormat="1" applyFont="1" applyFill="1" applyBorder="1"/>
    <xf numFmtId="2" fontId="5" fillId="2" borderId="0" xfId="0" applyNumberFormat="1" applyFont="1" applyFill="1" applyBorder="1"/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5" fillId="2" borderId="0" xfId="0" applyFont="1" applyFill="1"/>
    <xf numFmtId="165" fontId="9" fillId="2" borderId="3" xfId="1" applyNumberFormat="1" applyFont="1" applyFill="1" applyBorder="1" applyAlignment="1">
      <alignment horizontal="right" vertical="center"/>
    </xf>
    <xf numFmtId="165" fontId="9" fillId="2" borderId="3" xfId="1" applyNumberFormat="1" applyFont="1" applyFill="1" applyBorder="1" applyAlignment="1">
      <alignment vertical="center"/>
    </xf>
    <xf numFmtId="0" fontId="4" fillId="2" borderId="0" xfId="0" applyFont="1" applyFill="1" applyAlignment="1">
      <alignment horizontal="left" indent="1"/>
    </xf>
    <xf numFmtId="0" fontId="4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horizontal="right" vertical="center"/>
    </xf>
    <xf numFmtId="0" fontId="11" fillId="2" borderId="4" xfId="0" applyFont="1" applyFill="1" applyBorder="1" applyAlignment="1">
      <alignment horizontal="left" indent="1"/>
    </xf>
    <xf numFmtId="0" fontId="11" fillId="2" borderId="4" xfId="0" applyFont="1" applyFill="1" applyBorder="1"/>
    <xf numFmtId="0" fontId="4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indent="1"/>
    </xf>
    <xf numFmtId="0" fontId="10" fillId="2" borderId="4" xfId="0" applyFont="1" applyFill="1" applyBorder="1" applyAlignment="1">
      <alignment vertical="center"/>
    </xf>
    <xf numFmtId="165" fontId="9" fillId="2" borderId="0" xfId="1" applyNumberFormat="1" applyFont="1" applyFill="1" applyBorder="1" applyAlignment="1">
      <alignment horizontal="right" vertical="center"/>
    </xf>
    <xf numFmtId="165" fontId="9" fillId="2" borderId="0" xfId="1" applyNumberFormat="1" applyFont="1" applyFill="1" applyBorder="1" applyAlignment="1">
      <alignment vertical="center"/>
    </xf>
    <xf numFmtId="0" fontId="5" fillId="2" borderId="3" xfId="0" applyFont="1" applyFill="1" applyBorder="1"/>
    <xf numFmtId="0" fontId="4" fillId="2" borderId="0" xfId="0" applyFont="1" applyFill="1" applyBorder="1" applyAlignment="1">
      <alignment horizontal="left" indent="1"/>
    </xf>
    <xf numFmtId="0" fontId="4" fillId="2" borderId="4" xfId="0" applyFont="1" applyFill="1" applyBorder="1" applyAlignment="1">
      <alignment horizontal="right" vertical="center"/>
    </xf>
    <xf numFmtId="0" fontId="12" fillId="2" borderId="3" xfId="0" applyFont="1" applyFill="1" applyBorder="1"/>
    <xf numFmtId="165" fontId="12" fillId="2" borderId="3" xfId="1" applyNumberFormat="1" applyFont="1" applyFill="1" applyBorder="1" applyAlignment="1">
      <alignment horizontal="right" vertical="center"/>
    </xf>
    <xf numFmtId="165" fontId="12" fillId="2" borderId="3" xfId="1" applyNumberFormat="1" applyFont="1" applyFill="1" applyBorder="1" applyAlignment="1">
      <alignment vertical="center"/>
    </xf>
    <xf numFmtId="0" fontId="13" fillId="2" borderId="4" xfId="0" applyFont="1" applyFill="1" applyBorder="1" applyAlignment="1">
      <alignment horizontal="left" indent="1"/>
    </xf>
    <xf numFmtId="0" fontId="13" fillId="2" borderId="4" xfId="0" applyFont="1" applyFill="1" applyBorder="1"/>
    <xf numFmtId="0" fontId="14" fillId="2" borderId="4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165" fontId="10" fillId="2" borderId="0" xfId="1" applyNumberFormat="1" applyFont="1" applyFill="1" applyBorder="1" applyAlignment="1">
      <alignment vertical="center"/>
    </xf>
    <xf numFmtId="0" fontId="11" fillId="2" borderId="0" xfId="0" applyFont="1" applyFill="1" applyAlignment="1">
      <alignment horizontal="left" indent="1"/>
    </xf>
    <xf numFmtId="0" fontId="16" fillId="3" borderId="0" xfId="0" applyFont="1" applyFill="1" applyAlignment="1">
      <alignment horizontal="left" indent="1"/>
    </xf>
    <xf numFmtId="0" fontId="17" fillId="3" borderId="0" xfId="0" applyFont="1" applyFill="1"/>
    <xf numFmtId="165" fontId="16" fillId="3" borderId="0" xfId="0" applyNumberFormat="1" applyFont="1" applyFill="1" applyBorder="1" applyAlignment="1">
      <alignment horizontal="right" vertical="center"/>
    </xf>
    <xf numFmtId="0" fontId="18" fillId="2" borderId="0" xfId="0" applyFont="1" applyFill="1" applyBorder="1"/>
    <xf numFmtId="165" fontId="18" fillId="2" borderId="0" xfId="1" applyNumberFormat="1" applyFont="1" applyFill="1" applyBorder="1" applyAlignment="1">
      <alignment horizontal="right" vertical="center"/>
    </xf>
    <xf numFmtId="165" fontId="19" fillId="2" borderId="0" xfId="1" applyNumberFormat="1" applyFont="1" applyFill="1" applyBorder="1" applyAlignment="1">
      <alignment horizontal="right" vertical="center"/>
    </xf>
    <xf numFmtId="0" fontId="18" fillId="2" borderId="5" xfId="0" applyFont="1" applyFill="1" applyBorder="1"/>
    <xf numFmtId="165" fontId="9" fillId="2" borderId="5" xfId="1" applyNumberFormat="1" applyFont="1" applyFill="1" applyBorder="1" applyAlignment="1">
      <alignment horizontal="right" vertical="center"/>
    </xf>
    <xf numFmtId="0" fontId="12" fillId="2" borderId="5" xfId="0" applyFont="1" applyFill="1" applyBorder="1"/>
    <xf numFmtId="165" fontId="12" fillId="2" borderId="5" xfId="1" applyNumberFormat="1" applyFont="1" applyFill="1" applyBorder="1" applyAlignment="1">
      <alignment horizontal="right" vertical="center"/>
    </xf>
    <xf numFmtId="0" fontId="5" fillId="2" borderId="4" xfId="0" applyFont="1" applyFill="1" applyBorder="1"/>
    <xf numFmtId="1" fontId="4" fillId="2" borderId="0" xfId="0" applyNumberFormat="1" applyFont="1" applyFill="1" applyAlignment="1">
      <alignment horizontal="right" vertical="center"/>
    </xf>
    <xf numFmtId="1" fontId="4" fillId="2" borderId="0" xfId="0" applyNumberFormat="1" applyFont="1" applyFill="1" applyBorder="1" applyAlignment="1">
      <alignment horizontal="right" vertical="center"/>
    </xf>
    <xf numFmtId="165" fontId="5" fillId="2" borderId="5" xfId="1" applyNumberFormat="1" applyFont="1" applyFill="1" applyBorder="1" applyAlignment="1">
      <alignment horizontal="right" vertical="center"/>
    </xf>
    <xf numFmtId="0" fontId="5" fillId="2" borderId="0" xfId="0" applyFont="1" applyFill="1" applyBorder="1"/>
    <xf numFmtId="165" fontId="10" fillId="2" borderId="0" xfId="1" applyNumberFormat="1" applyFont="1" applyFill="1" applyBorder="1" applyAlignment="1">
      <alignment horizontal="right" vertical="center"/>
    </xf>
    <xf numFmtId="0" fontId="5" fillId="2" borderId="5" xfId="0" applyFont="1" applyFill="1" applyBorder="1"/>
    <xf numFmtId="165" fontId="10" fillId="2" borderId="5" xfId="1" applyNumberFormat="1" applyFont="1" applyFill="1" applyBorder="1" applyAlignment="1">
      <alignment horizontal="right" vertical="center"/>
    </xf>
    <xf numFmtId="165" fontId="20" fillId="3" borderId="0" xfId="0" applyNumberFormat="1" applyFont="1" applyFill="1" applyBorder="1" applyAlignment="1">
      <alignment horizontal="right" vertical="center"/>
    </xf>
    <xf numFmtId="0" fontId="21" fillId="2" borderId="0" xfId="0" applyFont="1" applyFill="1"/>
    <xf numFmtId="0" fontId="22" fillId="2" borderId="0" xfId="0" applyFont="1" applyFill="1"/>
    <xf numFmtId="0" fontId="7" fillId="2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indent="1"/>
    </xf>
    <xf numFmtId="0" fontId="4" fillId="2" borderId="0" xfId="0" applyFont="1" applyFill="1" applyAlignment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164" fontId="5" fillId="2" borderId="0" xfId="1" applyNumberFormat="1" applyFont="1" applyFill="1" applyBorder="1"/>
    <xf numFmtId="164" fontId="4" fillId="2" borderId="0" xfId="1" applyNumberFormat="1" applyFont="1" applyFill="1" applyBorder="1"/>
    <xf numFmtId="164" fontId="4" fillId="2" borderId="3" xfId="1" applyNumberFormat="1" applyFont="1" applyFill="1" applyBorder="1"/>
    <xf numFmtId="164" fontId="4" fillId="2" borderId="0" xfId="1" applyNumberFormat="1" applyFont="1" applyFill="1"/>
    <xf numFmtId="164" fontId="5" fillId="2" borderId="8" xfId="1" applyNumberFormat="1" applyFont="1" applyFill="1" applyBorder="1"/>
    <xf numFmtId="164" fontId="4" fillId="2" borderId="8" xfId="1" applyNumberFormat="1" applyFont="1" applyFill="1" applyBorder="1"/>
    <xf numFmtId="0" fontId="4" fillId="2" borderId="6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164" fontId="4" fillId="2" borderId="4" xfId="1" applyNumberFormat="1" applyFont="1" applyFill="1" applyBorder="1"/>
    <xf numFmtId="0" fontId="0" fillId="2" borderId="0" xfId="0" applyFill="1" applyBorder="1" applyAlignment="1">
      <alignment vertical="center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11" fillId="2" borderId="3" xfId="0" applyFont="1" applyFill="1" applyBorder="1"/>
    <xf numFmtId="0" fontId="11" fillId="2" borderId="0" xfId="0" applyFont="1" applyFill="1" applyBorder="1"/>
    <xf numFmtId="164" fontId="5" fillId="2" borderId="3" xfId="1" applyNumberFormat="1" applyFont="1" applyFill="1" applyBorder="1"/>
    <xf numFmtId="3" fontId="4" fillId="2" borderId="3" xfId="0" applyNumberFormat="1" applyFont="1" applyFill="1" applyBorder="1"/>
    <xf numFmtId="0" fontId="23" fillId="2" borderId="0" xfId="0" applyFont="1" applyFill="1"/>
    <xf numFmtId="164" fontId="5" fillId="2" borderId="4" xfId="1" applyNumberFormat="1" applyFont="1" applyFill="1" applyBorder="1"/>
    <xf numFmtId="0" fontId="24" fillId="2" borderId="0" xfId="0" applyFont="1" applyFill="1"/>
    <xf numFmtId="0" fontId="24" fillId="2" borderId="0" xfId="0" applyFont="1" applyFill="1" applyBorder="1"/>
    <xf numFmtId="3" fontId="4" fillId="2" borderId="4" xfId="0" applyNumberFormat="1" applyFont="1" applyFill="1" applyBorder="1"/>
    <xf numFmtId="164" fontId="4" fillId="2" borderId="1" xfId="1" applyNumberFormat="1" applyFont="1" applyFill="1" applyBorder="1"/>
    <xf numFmtId="164" fontId="4" fillId="2" borderId="6" xfId="1" applyNumberFormat="1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 applyProtection="1">
      <alignment vertical="center"/>
      <protection locked="0"/>
    </xf>
    <xf numFmtId="0" fontId="10" fillId="2" borderId="0" xfId="0" applyFont="1" applyFill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6" xfId="0" quotePrefix="1" applyFont="1" applyFill="1" applyBorder="1" applyAlignment="1">
      <alignment horizontal="center" vertical="center" wrapText="1"/>
    </xf>
    <xf numFmtId="170" fontId="10" fillId="2" borderId="0" xfId="0" applyNumberFormat="1" applyFont="1" applyFill="1" applyAlignment="1" applyProtection="1">
      <alignment horizontal="right" vertical="center" indent="1"/>
      <protection locked="0"/>
    </xf>
    <xf numFmtId="164" fontId="27" fillId="2" borderId="0" xfId="0" applyNumberFormat="1" applyFont="1" applyFill="1"/>
    <xf numFmtId="0" fontId="17" fillId="2" borderId="1" xfId="0" applyFont="1" applyFill="1" applyBorder="1" applyAlignment="1">
      <alignment vertical="center"/>
    </xf>
    <xf numFmtId="0" fontId="28" fillId="2" borderId="0" xfId="0" applyFont="1" applyFill="1"/>
    <xf numFmtId="0" fontId="29" fillId="2" borderId="1" xfId="0" applyFont="1" applyFill="1" applyBorder="1" applyAlignment="1">
      <alignment horizontal="left" vertical="center" indent="1"/>
    </xf>
    <xf numFmtId="0" fontId="30" fillId="2" borderId="1" xfId="0" applyFont="1" applyFill="1" applyBorder="1" applyAlignment="1"/>
    <xf numFmtId="0" fontId="31" fillId="2" borderId="0" xfId="0" applyFont="1" applyFill="1"/>
    <xf numFmtId="0" fontId="10" fillId="2" borderId="6" xfId="0" applyFont="1" applyFill="1" applyBorder="1" applyAlignment="1">
      <alignment vertical="center"/>
    </xf>
    <xf numFmtId="0" fontId="10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/>
    <xf numFmtId="169" fontId="10" fillId="2" borderId="0" xfId="0" applyNumberFormat="1" applyFont="1" applyFill="1" applyAlignment="1">
      <alignment horizontal="center"/>
    </xf>
    <xf numFmtId="169" fontId="10" fillId="2" borderId="0" xfId="0" applyNumberFormat="1" applyFont="1" applyFill="1"/>
    <xf numFmtId="170" fontId="9" fillId="2" borderId="0" xfId="0" applyNumberFormat="1" applyFont="1" applyFill="1" applyAlignment="1" applyProtection="1">
      <alignment horizontal="left" vertical="center"/>
      <protection locked="0"/>
    </xf>
    <xf numFmtId="169" fontId="10" fillId="2" borderId="3" xfId="0" applyNumberFormat="1" applyFont="1" applyFill="1" applyBorder="1" applyAlignment="1">
      <alignment horizontal="center"/>
    </xf>
    <xf numFmtId="164" fontId="9" fillId="2" borderId="3" xfId="0" applyNumberFormat="1" applyFont="1" applyFill="1" applyBorder="1"/>
    <xf numFmtId="0" fontId="10" fillId="2" borderId="0" xfId="0" applyFont="1" applyFill="1" applyBorder="1" applyAlignment="1">
      <alignment horizontal="left" vertical="center" wrapText="1" indent="1"/>
    </xf>
    <xf numFmtId="168" fontId="10" fillId="2" borderId="0" xfId="0" applyNumberFormat="1" applyFont="1" applyFill="1"/>
    <xf numFmtId="0" fontId="10" fillId="2" borderId="0" xfId="0" applyFont="1" applyFill="1" applyAlignment="1">
      <alignment horizontal="left" vertical="center" wrapText="1" indent="1"/>
    </xf>
    <xf numFmtId="164" fontId="10" fillId="2" borderId="0" xfId="0" applyNumberFormat="1" applyFont="1" applyFill="1"/>
    <xf numFmtId="170" fontId="10" fillId="2" borderId="0" xfId="0" applyNumberFormat="1" applyFont="1" applyFill="1" applyAlignment="1" applyProtection="1">
      <alignment horizontal="left" vertical="center"/>
      <protection locked="0"/>
    </xf>
    <xf numFmtId="170" fontId="9" fillId="2" borderId="9" xfId="0" applyNumberFormat="1" applyFont="1" applyFill="1" applyBorder="1" applyAlignment="1" applyProtection="1">
      <alignment horizontal="left" vertical="center"/>
      <protection locked="0"/>
    </xf>
    <xf numFmtId="0" fontId="9" fillId="2" borderId="9" xfId="0" applyFont="1" applyFill="1" applyBorder="1" applyAlignment="1">
      <alignment horizontal="center"/>
    </xf>
    <xf numFmtId="164" fontId="9" fillId="2" borderId="9" xfId="0" applyNumberFormat="1" applyFont="1" applyFill="1" applyBorder="1"/>
    <xf numFmtId="0" fontId="9" fillId="2" borderId="0" xfId="0" applyFont="1" applyFill="1" applyAlignment="1">
      <alignment vertical="center" wrapText="1"/>
    </xf>
    <xf numFmtId="167" fontId="10" fillId="2" borderId="0" xfId="0" applyNumberFormat="1" applyFont="1" applyFill="1" applyAlignment="1" applyProtection="1">
      <alignment horizontal="right" vertical="center"/>
      <protection locked="0"/>
    </xf>
    <xf numFmtId="170" fontId="9" fillId="2" borderId="0" xfId="0" applyNumberFormat="1" applyFont="1" applyFill="1" applyBorder="1" applyAlignment="1" applyProtection="1">
      <alignment horizontal="left" vertical="center"/>
      <protection locked="0"/>
    </xf>
    <xf numFmtId="168" fontId="9" fillId="2" borderId="0" xfId="0" applyNumberFormat="1" applyFont="1" applyFill="1"/>
    <xf numFmtId="168" fontId="10" fillId="2" borderId="0" xfId="0" applyNumberFormat="1" applyFont="1" applyFill="1" applyAlignment="1" applyProtection="1"/>
    <xf numFmtId="168" fontId="9" fillId="2" borderId="9" xfId="0" applyNumberFormat="1" applyFont="1" applyFill="1" applyBorder="1"/>
    <xf numFmtId="0" fontId="10" fillId="2" borderId="0" xfId="0" quotePrefix="1" applyFont="1" applyFill="1" applyAlignment="1">
      <alignment horizontal="left" vertical="center" indent="1"/>
    </xf>
    <xf numFmtId="0" fontId="10" fillId="2" borderId="0" xfId="0" applyFont="1" applyFill="1" applyAlignment="1">
      <alignment horizontal="left" vertical="center" indent="1"/>
    </xf>
    <xf numFmtId="168" fontId="10" fillId="2" borderId="0" xfId="0" applyNumberFormat="1" applyFont="1" applyFill="1" applyBorder="1"/>
    <xf numFmtId="0" fontId="10" fillId="2" borderId="0" xfId="0" applyFont="1" applyFill="1" applyBorder="1" applyAlignment="1">
      <alignment horizontal="left" vertical="center" indent="1"/>
    </xf>
    <xf numFmtId="170" fontId="9" fillId="2" borderId="1" xfId="0" applyNumberFormat="1" applyFont="1" applyFill="1" applyBorder="1" applyAlignment="1" applyProtection="1">
      <alignment horizontal="left" vertical="center"/>
      <protection locked="0"/>
    </xf>
    <xf numFmtId="168" fontId="9" fillId="2" borderId="1" xfId="0" applyNumberFormat="1" applyFont="1" applyFill="1" applyBorder="1"/>
    <xf numFmtId="0" fontId="9" fillId="2" borderId="0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/>
    </xf>
    <xf numFmtId="169" fontId="10" fillId="2" borderId="0" xfId="0" applyNumberFormat="1" applyFont="1" applyFill="1" applyAlignment="1" applyProtection="1">
      <alignment horizontal="left" vertical="center" indent="1"/>
      <protection locked="0"/>
    </xf>
    <xf numFmtId="169" fontId="9" fillId="2" borderId="0" xfId="0" applyNumberFormat="1" applyFont="1" applyFill="1" applyAlignment="1" applyProtection="1">
      <alignment vertical="center"/>
      <protection locked="0"/>
    </xf>
    <xf numFmtId="164" fontId="9" fillId="2" borderId="0" xfId="0" applyNumberFormat="1" applyFont="1" applyFill="1" applyBorder="1"/>
    <xf numFmtId="0" fontId="15" fillId="2" borderId="1" xfId="0" applyFont="1" applyFill="1" applyBorder="1" applyAlignment="1">
      <alignment horizontal="left" indent="1"/>
    </xf>
    <xf numFmtId="168" fontId="10" fillId="2" borderId="1" xfId="0" applyNumberFormat="1" applyFont="1" applyFill="1" applyBorder="1"/>
    <xf numFmtId="0" fontId="3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left" vertical="center"/>
    </xf>
    <xf numFmtId="0" fontId="9" fillId="2" borderId="0" xfId="0" applyFont="1" applyFill="1"/>
    <xf numFmtId="0" fontId="10" fillId="2" borderId="0" xfId="0" applyFont="1" applyFill="1"/>
    <xf numFmtId="0" fontId="9" fillId="2" borderId="3" xfId="0" applyFont="1" applyFill="1" applyBorder="1"/>
    <xf numFmtId="164" fontId="10" fillId="2" borderId="3" xfId="0" applyNumberFormat="1" applyFont="1" applyFill="1" applyBorder="1"/>
    <xf numFmtId="0" fontId="10" fillId="2" borderId="0" xfId="0" applyFont="1" applyFill="1" applyBorder="1"/>
    <xf numFmtId="0" fontId="10" fillId="2" borderId="0" xfId="0" applyFont="1" applyFill="1" applyAlignment="1" applyProtection="1">
      <alignment horizontal="center" vertical="center" wrapText="1"/>
      <protection locked="0"/>
    </xf>
    <xf numFmtId="164" fontId="10" fillId="2" borderId="0" xfId="0" applyNumberFormat="1" applyFont="1" applyFill="1" applyBorder="1"/>
    <xf numFmtId="0" fontId="10" fillId="2" borderId="0" xfId="0" quotePrefix="1" applyFont="1" applyFill="1" applyAlignment="1" applyProtection="1">
      <alignment horizontal="center" vertical="center" wrapText="1"/>
      <protection locked="0"/>
    </xf>
    <xf numFmtId="0" fontId="10" fillId="2" borderId="4" xfId="0" applyFont="1" applyFill="1" applyBorder="1"/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164" fontId="9" fillId="2" borderId="10" xfId="0" applyNumberFormat="1" applyFont="1" applyFill="1" applyBorder="1"/>
    <xf numFmtId="0" fontId="10" fillId="2" borderId="0" xfId="0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wrapText="1"/>
    </xf>
    <xf numFmtId="0" fontId="10" fillId="2" borderId="5" xfId="0" applyFont="1" applyFill="1" applyBorder="1"/>
    <xf numFmtId="0" fontId="9" fillId="2" borderId="9" xfId="0" applyFont="1" applyFill="1" applyBorder="1"/>
    <xf numFmtId="0" fontId="10" fillId="2" borderId="9" xfId="0" applyFont="1" applyFill="1" applyBorder="1" applyAlignment="1">
      <alignment horizontal="center"/>
    </xf>
    <xf numFmtId="0" fontId="9" fillId="2" borderId="13" xfId="0" applyFont="1" applyFill="1" applyBorder="1"/>
    <xf numFmtId="0" fontId="10" fillId="2" borderId="13" xfId="0" applyFont="1" applyFill="1" applyBorder="1" applyAlignment="1">
      <alignment horizontal="center"/>
    </xf>
    <xf numFmtId="164" fontId="9" fillId="2" borderId="13" xfId="0" applyNumberFormat="1" applyFont="1" applyFill="1" applyBorder="1"/>
    <xf numFmtId="0" fontId="10" fillId="2" borderId="8" xfId="0" applyFont="1" applyFill="1" applyBorder="1"/>
    <xf numFmtId="0" fontId="10" fillId="2" borderId="8" xfId="0" applyFont="1" applyFill="1" applyBorder="1" applyAlignment="1">
      <alignment horizontal="center"/>
    </xf>
    <xf numFmtId="168" fontId="10" fillId="2" borderId="8" xfId="0" applyNumberFormat="1" applyFont="1" applyFill="1" applyBorder="1"/>
    <xf numFmtId="164" fontId="9" fillId="2" borderId="0" xfId="0" applyNumberFormat="1" applyFont="1" applyFill="1"/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164" fontId="10" fillId="2" borderId="8" xfId="0" applyNumberFormat="1" applyFont="1" applyFill="1" applyBorder="1"/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/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indent="1"/>
    </xf>
    <xf numFmtId="0" fontId="10" fillId="2" borderId="0" xfId="0" applyFont="1" applyFill="1" applyAlignment="1">
      <alignment horizontal="left" indent="1"/>
    </xf>
    <xf numFmtId="167" fontId="9" fillId="2" borderId="0" xfId="0" applyNumberFormat="1" applyFont="1" applyFill="1" applyAlignment="1" applyProtection="1">
      <alignment horizontal="right" vertical="center"/>
      <protection locked="0"/>
    </xf>
    <xf numFmtId="0" fontId="9" fillId="2" borderId="10" xfId="0" applyFont="1" applyFill="1" applyBorder="1"/>
    <xf numFmtId="167" fontId="9" fillId="2" borderId="10" xfId="0" applyNumberFormat="1" applyFont="1" applyFill="1" applyBorder="1" applyAlignment="1" applyProtection="1">
      <alignment horizontal="right" vertical="center"/>
      <protection locked="0"/>
    </xf>
    <xf numFmtId="0" fontId="10" fillId="2" borderId="0" xfId="0" applyFont="1" applyFill="1" applyBorder="1" applyAlignment="1">
      <alignment horizontal="left" vertical="top" indent="1"/>
    </xf>
    <xf numFmtId="167" fontId="9" fillId="2" borderId="0" xfId="0" applyNumberFormat="1" applyFont="1" applyFill="1" applyBorder="1" applyAlignment="1" applyProtection="1">
      <alignment horizontal="right" vertical="center"/>
      <protection locked="0"/>
    </xf>
    <xf numFmtId="167" fontId="10" fillId="2" borderId="0" xfId="0" applyNumberFormat="1" applyFont="1" applyFill="1" applyBorder="1" applyAlignment="1" applyProtection="1">
      <alignment horizontal="right" vertical="center"/>
      <protection locked="0"/>
    </xf>
    <xf numFmtId="0" fontId="9" fillId="2" borderId="0" xfId="0" applyFont="1" applyFill="1" applyBorder="1" applyAlignment="1"/>
    <xf numFmtId="0" fontId="10" fillId="2" borderId="11" xfId="0" applyFont="1" applyFill="1" applyBorder="1" applyAlignment="1">
      <alignment horizontal="left" vertical="top" indent="1"/>
    </xf>
    <xf numFmtId="0" fontId="10" fillId="2" borderId="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left" vertical="top" indent="1"/>
    </xf>
    <xf numFmtId="0" fontId="9" fillId="2" borderId="0" xfId="0" quotePrefix="1" applyFont="1" applyFill="1" applyBorder="1"/>
    <xf numFmtId="167" fontId="9" fillId="2" borderId="12" xfId="0" applyNumberFormat="1" applyFont="1" applyFill="1" applyBorder="1" applyAlignment="1" applyProtection="1">
      <alignment horizontal="right" vertical="center"/>
      <protection locked="0"/>
    </xf>
    <xf numFmtId="0" fontId="10" fillId="2" borderId="0" xfId="0" applyFont="1" applyFill="1" applyBorder="1" applyAlignment="1">
      <alignment horizontal="left" indent="1"/>
    </xf>
    <xf numFmtId="0" fontId="10" fillId="2" borderId="8" xfId="0" applyFont="1" applyFill="1" applyBorder="1" applyAlignment="1">
      <alignment horizontal="left" indent="1"/>
    </xf>
    <xf numFmtId="169" fontId="9" fillId="2" borderId="8" xfId="0" applyNumberFormat="1" applyFont="1" applyFill="1" applyBorder="1" applyAlignment="1" applyProtection="1">
      <alignment horizontal="right" vertical="center"/>
      <protection locked="0"/>
    </xf>
    <xf numFmtId="0" fontId="30" fillId="2" borderId="0" xfId="0" applyFont="1" applyFill="1" applyBorder="1" applyAlignment="1">
      <alignment vertical="center"/>
    </xf>
    <xf numFmtId="0" fontId="15" fillId="2" borderId="0" xfId="0" applyFont="1" applyFill="1" applyBorder="1"/>
    <xf numFmtId="0" fontId="30" fillId="4" borderId="0" xfId="0" applyFont="1" applyFill="1" applyBorder="1" applyAlignment="1">
      <alignment horizontal="left" vertical="center" indent="1"/>
    </xf>
    <xf numFmtId="0" fontId="30" fillId="5" borderId="0" xfId="0" applyFont="1" applyFill="1" applyBorder="1" applyAlignment="1">
      <alignment vertical="center"/>
    </xf>
    <xf numFmtId="0" fontId="15" fillId="5" borderId="0" xfId="0" applyFont="1" applyFill="1"/>
    <xf numFmtId="0" fontId="15" fillId="4" borderId="0" xfId="0" applyFont="1" applyFill="1"/>
    <xf numFmtId="0" fontId="10" fillId="2" borderId="6" xfId="0" applyFont="1" applyFill="1" applyBorder="1"/>
    <xf numFmtId="0" fontId="10" fillId="2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164" fontId="10" fillId="2" borderId="0" xfId="0" applyNumberFormat="1" applyFont="1" applyFill="1" applyAlignment="1">
      <alignment horizontal="right"/>
    </xf>
    <xf numFmtId="3" fontId="31" fillId="2" borderId="0" xfId="0" applyNumberFormat="1" applyFont="1" applyFill="1"/>
    <xf numFmtId="164" fontId="10" fillId="0" borderId="0" xfId="0" applyNumberFormat="1" applyFont="1" applyFill="1"/>
    <xf numFmtId="3" fontId="10" fillId="2" borderId="0" xfId="0" applyNumberFormat="1" applyFont="1" applyFill="1"/>
    <xf numFmtId="164" fontId="31" fillId="2" borderId="0" xfId="0" applyNumberFormat="1" applyFont="1" applyFill="1"/>
    <xf numFmtId="38" fontId="31" fillId="2" borderId="0" xfId="0" applyNumberFormat="1" applyFont="1" applyFill="1"/>
    <xf numFmtId="169" fontId="10" fillId="2" borderId="0" xfId="0" applyNumberFormat="1" applyFont="1" applyFill="1" applyAlignment="1">
      <alignment horizontal="right"/>
    </xf>
    <xf numFmtId="3" fontId="10" fillId="2" borderId="8" xfId="0" applyNumberFormat="1" applyFont="1" applyFill="1" applyBorder="1"/>
    <xf numFmtId="0" fontId="10" fillId="2" borderId="10" xfId="0" applyFont="1" applyFill="1" applyBorder="1"/>
    <xf numFmtId="164" fontId="10" fillId="2" borderId="10" xfId="0" applyNumberFormat="1" applyFont="1" applyFill="1" applyBorder="1" applyAlignment="1">
      <alignment horizontal="right"/>
    </xf>
    <xf numFmtId="164" fontId="10" fillId="2" borderId="10" xfId="0" applyNumberFormat="1" applyFont="1" applyFill="1" applyBorder="1"/>
    <xf numFmtId="3" fontId="10" fillId="2" borderId="10" xfId="0" applyNumberFormat="1" applyFont="1" applyFill="1" applyBorder="1"/>
    <xf numFmtId="164" fontId="10" fillId="2" borderId="4" xfId="0" applyNumberFormat="1" applyFont="1" applyFill="1" applyBorder="1" applyAlignment="1">
      <alignment horizontal="right"/>
    </xf>
    <xf numFmtId="164" fontId="10" fillId="2" borderId="4" xfId="0" applyNumberFormat="1" applyFont="1" applyFill="1" applyBorder="1"/>
    <xf numFmtId="0" fontId="31" fillId="2" borderId="8" xfId="0" applyFont="1" applyFill="1" applyBorder="1"/>
    <xf numFmtId="169" fontId="10" fillId="2" borderId="10" xfId="0" applyNumberFormat="1" applyFont="1" applyFill="1" applyBorder="1"/>
    <xf numFmtId="0" fontId="10" fillId="2" borderId="3" xfId="0" applyFont="1" applyFill="1" applyBorder="1"/>
    <xf numFmtId="164" fontId="10" fillId="2" borderId="3" xfId="0" applyNumberFormat="1" applyFont="1" applyFill="1" applyBorder="1" applyAlignment="1">
      <alignment horizontal="right"/>
    </xf>
    <xf numFmtId="164" fontId="10" fillId="2" borderId="0" xfId="0" applyNumberFormat="1" applyFont="1" applyFill="1" applyBorder="1" applyAlignment="1">
      <alignment horizontal="right"/>
    </xf>
    <xf numFmtId="169" fontId="10" fillId="2" borderId="0" xfId="0" applyNumberFormat="1" applyFont="1" applyFill="1" applyBorder="1" applyAlignment="1">
      <alignment horizontal="right"/>
    </xf>
    <xf numFmtId="170" fontId="10" fillId="2" borderId="0" xfId="0" applyNumberFormat="1" applyFont="1" applyFill="1" applyBorder="1" applyAlignment="1">
      <alignment horizontal="right"/>
    </xf>
    <xf numFmtId="43" fontId="10" fillId="2" borderId="0" xfId="0" applyNumberFormat="1" applyFont="1" applyFill="1" applyAlignment="1">
      <alignment horizontal="right"/>
    </xf>
    <xf numFmtId="0" fontId="10" fillId="2" borderId="4" xfId="0" applyFont="1" applyFill="1" applyBorder="1" applyAlignment="1">
      <alignment horizontal="left" indent="1"/>
    </xf>
    <xf numFmtId="171" fontId="10" fillId="2" borderId="4" xfId="0" applyNumberFormat="1" applyFont="1" applyFill="1" applyBorder="1" applyAlignment="1">
      <alignment horizontal="right"/>
    </xf>
    <xf numFmtId="164" fontId="10" fillId="2" borderId="5" xfId="0" applyNumberFormat="1" applyFont="1" applyFill="1" applyBorder="1" applyAlignment="1">
      <alignment horizontal="right"/>
    </xf>
    <xf numFmtId="171" fontId="10" fillId="2" borderId="8" xfId="0" applyNumberFormat="1" applyFont="1" applyFill="1" applyBorder="1" applyAlignment="1">
      <alignment horizontal="right"/>
    </xf>
    <xf numFmtId="171" fontId="10" fillId="2" borderId="8" xfId="0" applyNumberFormat="1" applyFont="1" applyFill="1" applyBorder="1"/>
    <xf numFmtId="169" fontId="10" fillId="2" borderId="8" xfId="0" applyNumberFormat="1" applyFont="1" applyFill="1" applyBorder="1"/>
    <xf numFmtId="0" fontId="30" fillId="4" borderId="1" xfId="0" applyFont="1" applyFill="1" applyBorder="1" applyAlignment="1">
      <alignment horizontal="left" indent="1"/>
    </xf>
    <xf numFmtId="0" fontId="15" fillId="4" borderId="1" xfId="0" applyFont="1" applyFill="1" applyBorder="1"/>
    <xf numFmtId="3" fontId="15" fillId="4" borderId="0" xfId="0" applyNumberFormat="1" applyFont="1" applyFill="1"/>
    <xf numFmtId="3" fontId="10" fillId="2" borderId="6" xfId="0" applyNumberFormat="1" applyFont="1" applyFill="1" applyBorder="1" applyAlignment="1">
      <alignment horizontal="center" vertical="center" wrapText="1"/>
    </xf>
    <xf numFmtId="170" fontId="10" fillId="2" borderId="0" xfId="0" applyNumberFormat="1" applyFont="1" applyFill="1"/>
    <xf numFmtId="0" fontId="10" fillId="2" borderId="11" xfId="0" applyFont="1" applyFill="1" applyBorder="1"/>
    <xf numFmtId="164" fontId="10" fillId="2" borderId="0" xfId="0" applyNumberFormat="1" applyFont="1" applyFill="1" applyBorder="1" applyAlignment="1">
      <alignment horizontal="right" vertical="center"/>
    </xf>
    <xf numFmtId="164" fontId="10" fillId="0" borderId="0" xfId="0" applyNumberFormat="1" applyFont="1" applyFill="1" applyBorder="1"/>
    <xf numFmtId="164" fontId="10" fillId="2" borderId="11" xfId="0" applyNumberFormat="1" applyFont="1" applyFill="1" applyBorder="1"/>
    <xf numFmtId="164" fontId="9" fillId="2" borderId="5" xfId="0" applyNumberFormat="1" applyFont="1" applyFill="1" applyBorder="1"/>
    <xf numFmtId="164" fontId="10" fillId="2" borderId="5" xfId="0" applyNumberFormat="1" applyFont="1" applyFill="1" applyBorder="1"/>
    <xf numFmtId="0" fontId="31" fillId="2" borderId="5" xfId="0" applyFont="1" applyFill="1" applyBorder="1"/>
    <xf numFmtId="170" fontId="10" fillId="2" borderId="0" xfId="0" applyNumberFormat="1" applyFont="1" applyFill="1" applyBorder="1"/>
    <xf numFmtId="169" fontId="10" fillId="2" borderId="0" xfId="0" applyNumberFormat="1" applyFont="1" applyFill="1" applyBorder="1"/>
    <xf numFmtId="3" fontId="10" fillId="2" borderId="0" xfId="0" applyNumberFormat="1" applyFont="1" applyFill="1" applyBorder="1"/>
    <xf numFmtId="170" fontId="10" fillId="2" borderId="8" xfId="0" applyNumberFormat="1" applyFont="1" applyFill="1" applyBorder="1"/>
    <xf numFmtId="3" fontId="10" fillId="2" borderId="14" xfId="0" applyNumberFormat="1" applyFont="1" applyFill="1" applyBorder="1"/>
    <xf numFmtId="0" fontId="31" fillId="4" borderId="1" xfId="0" applyFont="1" applyFill="1" applyBorder="1"/>
    <xf numFmtId="3" fontId="31" fillId="4" borderId="1" xfId="0" applyNumberFormat="1" applyFont="1" applyFill="1" applyBorder="1"/>
    <xf numFmtId="0" fontId="10" fillId="2" borderId="0" xfId="0" applyFont="1" applyFill="1" applyAlignment="1">
      <alignment horizontal="left" wrapText="1" indent="1"/>
    </xf>
    <xf numFmtId="0" fontId="10" fillId="0" borderId="0" xfId="0" applyFont="1" applyFill="1" applyAlignment="1">
      <alignment horizontal="left" indent="1"/>
    </xf>
    <xf numFmtId="0" fontId="31" fillId="2" borderId="0" xfId="0" applyFont="1" applyFill="1" applyBorder="1"/>
    <xf numFmtId="170" fontId="10" fillId="2" borderId="0" xfId="0" applyNumberFormat="1" applyFont="1" applyFill="1" applyAlignment="1" applyProtection="1">
      <alignment horizontal="right" vertical="center"/>
      <protection locked="0"/>
    </xf>
    <xf numFmtId="0" fontId="30" fillId="2" borderId="1" xfId="0" applyFont="1" applyFill="1" applyBorder="1" applyAlignment="1">
      <alignment vertical="center"/>
    </xf>
    <xf numFmtId="4" fontId="10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right"/>
    </xf>
    <xf numFmtId="170" fontId="33" fillId="2" borderId="0" xfId="0" applyNumberFormat="1" applyFont="1" applyFill="1" applyAlignment="1" applyProtection="1">
      <alignment horizontal="right" vertical="center"/>
      <protection locked="0"/>
    </xf>
    <xf numFmtId="170" fontId="31" fillId="2" borderId="0" xfId="0" applyNumberFormat="1" applyFont="1" applyFill="1"/>
    <xf numFmtId="170" fontId="10" fillId="2" borderId="5" xfId="0" applyNumberFormat="1" applyFont="1" applyFill="1" applyBorder="1" applyAlignment="1">
      <alignment horizontal="right"/>
    </xf>
    <xf numFmtId="0" fontId="10" fillId="2" borderId="5" xfId="0" applyFont="1" applyFill="1" applyBorder="1" applyAlignment="1">
      <alignment horizontal="right"/>
    </xf>
    <xf numFmtId="0" fontId="10" fillId="2" borderId="5" xfId="0" applyFont="1" applyFill="1" applyBorder="1" applyAlignment="1">
      <alignment horizontal="right" vertical="top"/>
    </xf>
    <xf numFmtId="170" fontId="10" fillId="2" borderId="3" xfId="0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horizontal="right"/>
    </xf>
    <xf numFmtId="170" fontId="9" fillId="2" borderId="0" xfId="0" applyNumberFormat="1" applyFont="1" applyFill="1" applyAlignment="1" applyProtection="1">
      <alignment horizontal="right" vertical="center"/>
      <protection locked="0"/>
    </xf>
    <xf numFmtId="0" fontId="10" fillId="0" borderId="0" xfId="0" applyFont="1" applyFill="1" applyBorder="1" applyAlignment="1">
      <alignment horizontal="left" indent="1"/>
    </xf>
    <xf numFmtId="170" fontId="10" fillId="2" borderId="0" xfId="0" applyNumberFormat="1" applyFont="1" applyFill="1" applyBorder="1" applyAlignment="1" applyProtection="1">
      <alignment horizontal="right" vertical="center"/>
      <protection locked="0"/>
    </xf>
    <xf numFmtId="0" fontId="31" fillId="0" borderId="0" xfId="0" applyFont="1" applyFill="1"/>
    <xf numFmtId="164" fontId="10" fillId="2" borderId="0" xfId="0" applyNumberFormat="1" applyFont="1" applyFill="1" applyBorder="1" applyAlignment="1">
      <alignment horizontal="right" indent="1"/>
    </xf>
    <xf numFmtId="0" fontId="10" fillId="2" borderId="0" xfId="0" applyNumberFormat="1" applyFont="1" applyFill="1" applyBorder="1" applyAlignment="1">
      <alignment horizontal="right"/>
    </xf>
    <xf numFmtId="170" fontId="10" fillId="2" borderId="10" xfId="0" applyNumberFormat="1" applyFont="1" applyFill="1" applyBorder="1" applyAlignment="1">
      <alignment horizontal="right"/>
    </xf>
    <xf numFmtId="0" fontId="10" fillId="2" borderId="10" xfId="0" applyFont="1" applyFill="1" applyBorder="1" applyAlignment="1">
      <alignment horizontal="right"/>
    </xf>
    <xf numFmtId="170" fontId="10" fillId="2" borderId="10" xfId="0" applyNumberFormat="1" applyFont="1" applyFill="1" applyBorder="1" applyAlignment="1" applyProtection="1">
      <alignment horizontal="right" vertical="center"/>
      <protection locked="0"/>
    </xf>
    <xf numFmtId="169" fontId="10" fillId="2" borderId="8" xfId="0" applyNumberFormat="1" applyFont="1" applyFill="1" applyBorder="1" applyAlignment="1" applyProtection="1">
      <alignment horizontal="right" vertical="center"/>
      <protection locked="0"/>
    </xf>
    <xf numFmtId="0" fontId="34" fillId="2" borderId="0" xfId="0" applyFont="1" applyFill="1"/>
    <xf numFmtId="0" fontId="34" fillId="4" borderId="1" xfId="0" applyFont="1" applyFill="1" applyBorder="1"/>
    <xf numFmtId="169" fontId="10" fillId="2" borderId="0" xfId="0" applyNumberFormat="1" applyFont="1" applyFill="1" applyAlignment="1" applyProtection="1">
      <alignment horizontal="right" vertical="center"/>
      <protection locked="0"/>
    </xf>
    <xf numFmtId="170" fontId="25" fillId="2" borderId="0" xfId="0" applyNumberFormat="1" applyFont="1" applyFill="1" applyAlignment="1" applyProtection="1">
      <alignment horizontal="right" vertical="center"/>
      <protection locked="0"/>
    </xf>
    <xf numFmtId="170" fontId="10" fillId="2" borderId="8" xfId="0" applyNumberFormat="1" applyFont="1" applyFill="1" applyBorder="1" applyAlignment="1" applyProtection="1">
      <alignment horizontal="right" vertical="center"/>
      <protection locked="0"/>
    </xf>
    <xf numFmtId="170" fontId="10" fillId="0" borderId="0" xfId="0" applyNumberFormat="1" applyFont="1" applyFill="1" applyBorder="1" applyAlignment="1" applyProtection="1">
      <alignment horizontal="right" vertical="center"/>
      <protection locked="0"/>
    </xf>
    <xf numFmtId="170" fontId="10" fillId="0" borderId="0" xfId="0" applyNumberFormat="1" applyFont="1" applyFill="1" applyAlignment="1" applyProtection="1">
      <alignment horizontal="right" vertical="center"/>
      <protection locked="0"/>
    </xf>
    <xf numFmtId="0" fontId="10" fillId="0" borderId="4" xfId="0" applyFont="1" applyFill="1" applyBorder="1"/>
    <xf numFmtId="170" fontId="10" fillId="2" borderId="15" xfId="0" applyNumberFormat="1" applyFont="1" applyFill="1" applyBorder="1" applyAlignment="1" applyProtection="1">
      <alignment horizontal="right" vertical="center"/>
      <protection locked="0"/>
    </xf>
    <xf numFmtId="170" fontId="25" fillId="2" borderId="0" xfId="0" applyNumberFormat="1" applyFont="1" applyFill="1" applyBorder="1" applyAlignment="1" applyProtection="1">
      <alignment horizontal="right" vertical="center"/>
      <protection locked="0"/>
    </xf>
    <xf numFmtId="170" fontId="15" fillId="2" borderId="0" xfId="0" applyNumberFormat="1" applyFont="1" applyFill="1" applyAlignment="1" applyProtection="1"/>
    <xf numFmtId="170" fontId="15" fillId="2" borderId="8" xfId="0" applyNumberFormat="1" applyFont="1" applyFill="1" applyBorder="1" applyAlignment="1" applyProtection="1"/>
    <xf numFmtId="170" fontId="10" fillId="2" borderId="16" xfId="0" applyNumberFormat="1" applyFont="1" applyFill="1" applyBorder="1" applyAlignment="1" applyProtection="1">
      <alignment horizontal="right" vertical="center"/>
      <protection locked="0"/>
    </xf>
    <xf numFmtId="164" fontId="34" fillId="2" borderId="0" xfId="0" applyNumberFormat="1" applyFont="1" applyFill="1"/>
    <xf numFmtId="170" fontId="10" fillId="2" borderId="17" xfId="0" applyNumberFormat="1" applyFont="1" applyFill="1" applyBorder="1" applyAlignment="1" applyProtection="1">
      <alignment horizontal="right" vertical="center"/>
      <protection locked="0"/>
    </xf>
    <xf numFmtId="170" fontId="10" fillId="2" borderId="15" xfId="0" applyNumberFormat="1" applyFont="1" applyFill="1" applyBorder="1"/>
    <xf numFmtId="170" fontId="10" fillId="2" borderId="11" xfId="0" applyNumberFormat="1" applyFont="1" applyFill="1" applyBorder="1" applyAlignment="1" applyProtection="1">
      <alignment horizontal="right" vertical="center"/>
      <protection locked="0"/>
    </xf>
    <xf numFmtId="170" fontId="10" fillId="2" borderId="0" xfId="0" applyNumberFormat="1" applyFont="1" applyFill="1" applyAlignment="1" applyProtection="1">
      <alignment vertical="center"/>
      <protection locked="0"/>
    </xf>
    <xf numFmtId="170" fontId="10" fillId="2" borderId="10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Fill="1"/>
    <xf numFmtId="164" fontId="10" fillId="2" borderId="5" xfId="0" applyNumberFormat="1" applyFont="1" applyFill="1" applyBorder="1" applyAlignment="1">
      <alignment horizontal="right" vertical="top"/>
    </xf>
    <xf numFmtId="164" fontId="10" fillId="2" borderId="4" xfId="0" applyNumberFormat="1" applyFont="1" applyFill="1" applyBorder="1" applyAlignment="1">
      <alignment horizontal="right" vertical="top"/>
    </xf>
    <xf numFmtId="171" fontId="10" fillId="2" borderId="8" xfId="0" applyNumberFormat="1" applyFont="1" applyFill="1" applyBorder="1" applyAlignment="1">
      <alignment horizontal="right" vertical="top"/>
    </xf>
    <xf numFmtId="164" fontId="10" fillId="0" borderId="4" xfId="0" applyNumberFormat="1" applyFont="1" applyFill="1" applyBorder="1"/>
    <xf numFmtId="43" fontId="10" fillId="2" borderId="8" xfId="0" applyNumberFormat="1" applyFont="1" applyFill="1" applyBorder="1"/>
    <xf numFmtId="43" fontId="10" fillId="2" borderId="0" xfId="0" applyNumberFormat="1" applyFont="1" applyFill="1"/>
    <xf numFmtId="169" fontId="31" fillId="2" borderId="0" xfId="0" applyNumberFormat="1" applyFont="1" applyFill="1"/>
    <xf numFmtId="164" fontId="10" fillId="2" borderId="18" xfId="0" applyNumberFormat="1" applyFont="1" applyFill="1" applyBorder="1"/>
    <xf numFmtId="0" fontId="31" fillId="2" borderId="0" xfId="0" applyFont="1" applyFill="1" applyAlignment="1">
      <alignment horizontal="right"/>
    </xf>
    <xf numFmtId="0" fontId="31" fillId="2" borderId="0" xfId="0" applyFont="1" applyFill="1" applyAlignment="1">
      <alignment horizontal="left"/>
    </xf>
    <xf numFmtId="169" fontId="10" fillId="2" borderId="9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69" fontId="10" fillId="2" borderId="0" xfId="0" applyNumberFormat="1" applyFont="1" applyFill="1" applyBorder="1" applyAlignment="1">
      <alignment horizontal="center"/>
    </xf>
    <xf numFmtId="0" fontId="10" fillId="2" borderId="0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164" fontId="10" fillId="2" borderId="0" xfId="0" applyNumberFormat="1" applyFont="1" applyFill="1" applyBorder="1" applyAlignment="1">
      <alignment horizontal="right" vertical="center"/>
    </xf>
    <xf numFmtId="0" fontId="31" fillId="2" borderId="0" xfId="0" applyFont="1" applyFill="1" applyAlignment="1">
      <alignment horizontal="right" vertical="center"/>
    </xf>
    <xf numFmtId="164" fontId="10" fillId="2" borderId="0" xfId="0" applyNumberFormat="1" applyFont="1" applyFill="1" applyAlignment="1">
      <alignment horizontal="right" vertical="center"/>
    </xf>
    <xf numFmtId="0" fontId="31" fillId="0" borderId="0" xfId="0" applyFont="1" applyAlignment="1">
      <alignment horizontal="right" vertical="center"/>
    </xf>
    <xf numFmtId="170" fontId="10" fillId="2" borderId="0" xfId="0" applyNumberFormat="1" applyFont="1" applyFill="1" applyAlignment="1" applyProtection="1">
      <alignment horizontal="right" vertical="center"/>
      <protection locked="0"/>
    </xf>
    <xf numFmtId="170" fontId="10" fillId="2" borderId="0" xfId="0" applyNumberFormat="1" applyFont="1" applyFill="1" applyAlignment="1" applyProtection="1">
      <alignment horizontal="right" vertical="center" indent="1"/>
      <protection locked="0"/>
    </xf>
    <xf numFmtId="0" fontId="31" fillId="2" borderId="0" xfId="0" applyFont="1" applyFill="1" applyAlignment="1">
      <alignment horizontal="right" vertical="center" inden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6" Type="http://schemas.openxmlformats.org/officeDocument/2006/relationships/revisionHeaders" Target="revisions/revisionHeader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wiechecka/Documents/SKONSOLIDOWANE%20GRUPA/RAPORT%20IIQ%202016/Tabele_gie&#322;da_Q2_2016_201608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ełda (2)"/>
      <sheetName val="Cognos_Office_Connection_Cache"/>
      <sheetName val="Q2_2016"/>
    </sheetNames>
    <sheetDataSet>
      <sheetData sheetId="0"/>
      <sheetData sheetId="1"/>
      <sheetData sheetId="2">
        <row r="192">
          <cell r="C192">
            <v>90654</v>
          </cell>
          <cell r="D192">
            <v>146245</v>
          </cell>
          <cell r="I192">
            <v>27237</v>
          </cell>
          <cell r="J192">
            <v>86032</v>
          </cell>
        </row>
        <row r="198">
          <cell r="C198">
            <v>599820</v>
          </cell>
          <cell r="D198">
            <v>885569</v>
          </cell>
          <cell r="I198">
            <v>343886</v>
          </cell>
          <cell r="J198">
            <v>462379</v>
          </cell>
        </row>
        <row r="204">
          <cell r="C204">
            <v>744339</v>
          </cell>
          <cell r="D204">
            <v>696246</v>
          </cell>
          <cell r="I204">
            <v>416024</v>
          </cell>
          <cell r="J204">
            <v>410845</v>
          </cell>
        </row>
        <row r="210">
          <cell r="C210">
            <v>757</v>
          </cell>
          <cell r="D210">
            <v>2531</v>
          </cell>
          <cell r="I210">
            <v>78</v>
          </cell>
          <cell r="J210">
            <v>893</v>
          </cell>
        </row>
        <row r="216">
          <cell r="C216">
            <v>16560</v>
          </cell>
          <cell r="D216">
            <v>40136</v>
          </cell>
          <cell r="I216">
            <v>11182</v>
          </cell>
          <cell r="J216">
            <v>18900</v>
          </cell>
        </row>
      </sheetData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109" Type="http://schemas.openxmlformats.org/officeDocument/2006/relationships/revisionLog" Target="revisionLog57.xml"/><Relationship Id="rId55" Type="http://schemas.openxmlformats.org/officeDocument/2006/relationships/revisionLog" Target="revisionLog3.xml"/><Relationship Id="rId63" Type="http://schemas.openxmlformats.org/officeDocument/2006/relationships/revisionLog" Target="revisionLog11.xml"/><Relationship Id="rId68" Type="http://schemas.openxmlformats.org/officeDocument/2006/relationships/revisionLog" Target="revisionLog16.xml"/><Relationship Id="rId76" Type="http://schemas.openxmlformats.org/officeDocument/2006/relationships/revisionLog" Target="revisionLog24.xml"/><Relationship Id="rId84" Type="http://schemas.openxmlformats.org/officeDocument/2006/relationships/revisionLog" Target="revisionLog32.xml"/><Relationship Id="rId89" Type="http://schemas.openxmlformats.org/officeDocument/2006/relationships/revisionLog" Target="revisionLog37.xml"/><Relationship Id="rId97" Type="http://schemas.openxmlformats.org/officeDocument/2006/relationships/revisionLog" Target="revisionLog45.xml"/><Relationship Id="rId104" Type="http://schemas.openxmlformats.org/officeDocument/2006/relationships/revisionLog" Target="revisionLog52.xml"/><Relationship Id="rId112" Type="http://schemas.openxmlformats.org/officeDocument/2006/relationships/revisionLog" Target="revisionLog60.xml"/><Relationship Id="rId71" Type="http://schemas.openxmlformats.org/officeDocument/2006/relationships/revisionLog" Target="revisionLog19.xml"/><Relationship Id="rId92" Type="http://schemas.openxmlformats.org/officeDocument/2006/relationships/revisionLog" Target="revisionLog40.xml"/><Relationship Id="rId107" Type="http://schemas.openxmlformats.org/officeDocument/2006/relationships/revisionLog" Target="revisionLog55.xml"/><Relationship Id="rId53" Type="http://schemas.openxmlformats.org/officeDocument/2006/relationships/revisionLog" Target="revisionLog1.xml"/><Relationship Id="rId58" Type="http://schemas.openxmlformats.org/officeDocument/2006/relationships/revisionLog" Target="revisionLog6.xml"/><Relationship Id="rId66" Type="http://schemas.openxmlformats.org/officeDocument/2006/relationships/revisionLog" Target="revisionLog14.xml"/><Relationship Id="rId74" Type="http://schemas.openxmlformats.org/officeDocument/2006/relationships/revisionLog" Target="revisionLog22.xml"/><Relationship Id="rId79" Type="http://schemas.openxmlformats.org/officeDocument/2006/relationships/revisionLog" Target="revisionLog27.xml"/><Relationship Id="rId87" Type="http://schemas.openxmlformats.org/officeDocument/2006/relationships/revisionLog" Target="revisionLog35.xml"/><Relationship Id="rId102" Type="http://schemas.openxmlformats.org/officeDocument/2006/relationships/revisionLog" Target="revisionLog50.xml"/><Relationship Id="rId110" Type="http://schemas.openxmlformats.org/officeDocument/2006/relationships/revisionLog" Target="revisionLog58.xml"/><Relationship Id="rId61" Type="http://schemas.openxmlformats.org/officeDocument/2006/relationships/revisionLog" Target="revisionLog9.xml"/><Relationship Id="rId82" Type="http://schemas.openxmlformats.org/officeDocument/2006/relationships/revisionLog" Target="revisionLog30.xml"/><Relationship Id="rId90" Type="http://schemas.openxmlformats.org/officeDocument/2006/relationships/revisionLog" Target="revisionLog38.xml"/><Relationship Id="rId95" Type="http://schemas.openxmlformats.org/officeDocument/2006/relationships/revisionLog" Target="revisionLog43.xml"/><Relationship Id="rId56" Type="http://schemas.openxmlformats.org/officeDocument/2006/relationships/revisionLog" Target="revisionLog4.xml"/><Relationship Id="rId64" Type="http://schemas.openxmlformats.org/officeDocument/2006/relationships/revisionLog" Target="revisionLog12.xml"/><Relationship Id="rId69" Type="http://schemas.openxmlformats.org/officeDocument/2006/relationships/revisionLog" Target="revisionLog17.xml"/><Relationship Id="rId77" Type="http://schemas.openxmlformats.org/officeDocument/2006/relationships/revisionLog" Target="revisionLog25.xml"/><Relationship Id="rId100" Type="http://schemas.openxmlformats.org/officeDocument/2006/relationships/revisionLog" Target="revisionLog48.xml"/><Relationship Id="rId105" Type="http://schemas.openxmlformats.org/officeDocument/2006/relationships/revisionLog" Target="revisionLog53.xml"/><Relationship Id="rId72" Type="http://schemas.openxmlformats.org/officeDocument/2006/relationships/revisionLog" Target="revisionLog20.xml"/><Relationship Id="rId80" Type="http://schemas.openxmlformats.org/officeDocument/2006/relationships/revisionLog" Target="revisionLog28.xml"/><Relationship Id="rId85" Type="http://schemas.openxmlformats.org/officeDocument/2006/relationships/revisionLog" Target="revisionLog33.xml"/><Relationship Id="rId93" Type="http://schemas.openxmlformats.org/officeDocument/2006/relationships/revisionLog" Target="revisionLog41.xml"/><Relationship Id="rId98" Type="http://schemas.openxmlformats.org/officeDocument/2006/relationships/revisionLog" Target="revisionLog46.xml"/><Relationship Id="rId59" Type="http://schemas.openxmlformats.org/officeDocument/2006/relationships/revisionLog" Target="revisionLog7.xml"/><Relationship Id="rId67" Type="http://schemas.openxmlformats.org/officeDocument/2006/relationships/revisionLog" Target="revisionLog15.xml"/><Relationship Id="rId103" Type="http://schemas.openxmlformats.org/officeDocument/2006/relationships/revisionLog" Target="revisionLog51.xml"/><Relationship Id="rId108" Type="http://schemas.openxmlformats.org/officeDocument/2006/relationships/revisionLog" Target="revisionLog56.xml"/><Relationship Id="rId54" Type="http://schemas.openxmlformats.org/officeDocument/2006/relationships/revisionLog" Target="revisionLog2.xml"/><Relationship Id="rId62" Type="http://schemas.openxmlformats.org/officeDocument/2006/relationships/revisionLog" Target="revisionLog10.xml"/><Relationship Id="rId70" Type="http://schemas.openxmlformats.org/officeDocument/2006/relationships/revisionLog" Target="revisionLog18.xml"/><Relationship Id="rId75" Type="http://schemas.openxmlformats.org/officeDocument/2006/relationships/revisionLog" Target="revisionLog23.xml"/><Relationship Id="rId83" Type="http://schemas.openxmlformats.org/officeDocument/2006/relationships/revisionLog" Target="revisionLog31.xml"/><Relationship Id="rId88" Type="http://schemas.openxmlformats.org/officeDocument/2006/relationships/revisionLog" Target="revisionLog36.xml"/><Relationship Id="rId91" Type="http://schemas.openxmlformats.org/officeDocument/2006/relationships/revisionLog" Target="revisionLog39.xml"/><Relationship Id="rId96" Type="http://schemas.openxmlformats.org/officeDocument/2006/relationships/revisionLog" Target="revisionLog44.xml"/><Relationship Id="rId111" Type="http://schemas.openxmlformats.org/officeDocument/2006/relationships/revisionLog" Target="revisionLog59.xml"/><Relationship Id="rId57" Type="http://schemas.openxmlformats.org/officeDocument/2006/relationships/revisionLog" Target="revisionLog5.xml"/><Relationship Id="rId106" Type="http://schemas.openxmlformats.org/officeDocument/2006/relationships/revisionLog" Target="revisionLog54.xml"/><Relationship Id="rId60" Type="http://schemas.openxmlformats.org/officeDocument/2006/relationships/revisionLog" Target="revisionLog8.xml"/><Relationship Id="rId65" Type="http://schemas.openxmlformats.org/officeDocument/2006/relationships/revisionLog" Target="revisionLog13.xml"/><Relationship Id="rId73" Type="http://schemas.openxmlformats.org/officeDocument/2006/relationships/revisionLog" Target="revisionLog21.xml"/><Relationship Id="rId78" Type="http://schemas.openxmlformats.org/officeDocument/2006/relationships/revisionLog" Target="revisionLog26.xml"/><Relationship Id="rId81" Type="http://schemas.openxmlformats.org/officeDocument/2006/relationships/revisionLog" Target="revisionLog29.xml"/><Relationship Id="rId86" Type="http://schemas.openxmlformats.org/officeDocument/2006/relationships/revisionLog" Target="revisionLog34.xml"/><Relationship Id="rId94" Type="http://schemas.openxmlformats.org/officeDocument/2006/relationships/revisionLog" Target="revisionLog42.xml"/><Relationship Id="rId99" Type="http://schemas.openxmlformats.org/officeDocument/2006/relationships/revisionLog" Target="revisionLog47.xml"/><Relationship Id="rId101" Type="http://schemas.openxmlformats.org/officeDocument/2006/relationships/revisionLog" Target="revisionLog4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3D96B40-92C6-4956-8CB6-4A844D6372C9}" diskRevisions="1" revisionId="1986" version="61">
  <header guid="{1676A058-CCCF-4B0A-9D22-DD1A10F7E229}" dateTime="2016-11-02T08:53:46" maxSheetId="11" userName="Otto Sonia" r:id="rId53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885B47DB-96E7-43D2-AD72-00D98CF55945}" dateTime="2016-11-02T09:12:11" maxSheetId="11" userName="Otto Sonia" r:id="rId54" minRId="1151" maxRId="1158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2576E469-AEEE-4D2D-A926-DA18566888A7}" dateTime="2016-11-02T09:25:51" maxSheetId="11" userName="Otto Sonia" r:id="rId55" minRId="1159" maxRId="1225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F9BE0EBF-71D9-4D0F-B6DA-64E929A77D0F}" dateTime="2016-11-02T09:30:24" maxSheetId="11" userName="Otto Sonia" r:id="rId56" minRId="1226" maxRId="1305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2124C965-20A4-4EBA-AC22-6720B27FD2B1}" dateTime="2016-11-02T09:36:43" maxSheetId="11" userName="Otto Sonia" r:id="rId57" minRId="1306" maxRId="1385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4A8EDA8C-8D19-4F7B-977D-E5805C95E7AF}" dateTime="2016-11-02T09:45:06" maxSheetId="11" userName="Otto Sonia" r:id="rId58" minRId="1386" maxRId="1391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89CA4800-49D2-4CB2-80EF-3135C96A0675}" dateTime="2016-11-02T10:54:59" maxSheetId="11" userName="Otto Sonia" r:id="rId59" minRId="1392" maxRId="1399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66C31371-E4E7-49CB-A8A0-B4356AD68590}" dateTime="2016-11-02T11:07:39" maxSheetId="11" userName="Otto Sonia" r:id="rId60" minRId="1400" maxRId="1411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56418C8F-95CB-4BF0-9E1F-FFB218FC1AF3}" dateTime="2016-11-02T11:15:25" maxSheetId="11" userName="Otto Sonia" r:id="rId61" minRId="1412" maxRId="1419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9222D190-548A-4221-B4CA-EBF27DA06A97}" dateTime="2016-11-02T11:27:27" maxSheetId="11" userName="Otto Sonia" r:id="rId62" minRId="1420" maxRId="1429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B41701E5-5061-486D-9A45-9A78B64689A0}" dateTime="2016-11-02T11:43:52" maxSheetId="11" userName="Otto Sonia" r:id="rId63" minRId="1430" maxRId="1451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649A5F2B-3FBF-4DF9-9B39-B9B65A588AF3}" dateTime="2016-11-02T11:52:36" maxSheetId="11" userName="Otto Sonia" r:id="rId64" minRId="1452" maxRId="1459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87BD4B7D-FC39-4197-BDD9-E41640E6AE03}" dateTime="2016-11-02T11:55:56" maxSheetId="11" userName="Otto Sonia" r:id="rId65" minRId="1460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2066FFD4-CD81-4BE2-87FE-DF5FE81B9749}" dateTime="2016-11-02T12:00:29" maxSheetId="11" userName="Otto Sonia" r:id="rId66" minRId="1461" maxRId="1463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B4CBBCA6-F119-459D-92DA-E3411944DD82}" dateTime="2016-11-02T12:55:39" maxSheetId="11" userName="Otto Sonia" r:id="rId67" minRId="1464" maxRId="1489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C9A4EA49-2E4F-4D1B-8529-A30C50128B8E}" dateTime="2016-11-02T12:56:52" maxSheetId="11" userName="Otto Sonia" r:id="rId68" minRId="1490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0C6DD3C4-7768-493B-BFFE-AE53CFC0936E}" dateTime="2016-11-02T13:44:45" maxSheetId="11" userName="Otto Sonia" r:id="rId69" minRId="1491" maxRId="1530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C0BE44D3-D892-402D-999D-7E1FDD3A1273}" dateTime="2016-11-02T14:04:23" maxSheetId="11" userName="Otto Sonia" r:id="rId70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3DE9E0AE-D38B-49D3-9F3C-2508121278F4}" dateTime="2016-11-02T14:07:44" maxSheetId="11" userName="Otto Sonia" r:id="rId71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1EB627EC-E80B-4B39-ABAB-D81C30C90BAE}" dateTime="2016-11-02T14:39:12" maxSheetId="11" userName="Otto Sonia" r:id="rId72" minRId="1531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E79B7AED-D68B-4F87-B31E-4C311AB8BFC1}" dateTime="2016-11-02T15:07:17" maxSheetId="11" userName="Otto Sonia" r:id="rId73" minRId="1532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534F92A7-EAEE-4AD3-B10A-264E25B7CDEC}" dateTime="2016-11-02T15:33:25" maxSheetId="11" userName="Otto Sonia" r:id="rId74" minRId="1533" maxRId="1547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35C73997-2177-471B-846F-EA45FD4749F7}" dateTime="2016-11-02T16:27:43" maxSheetId="11" userName="Otto Sonia" r:id="rId75" minRId="1548" maxRId="1563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23EB5EAA-A365-4F05-8364-38A070EE1178}" dateTime="2016-11-03T09:42:04" maxSheetId="11" userName="Maciejczyk Ewa" r:id="rId76" minRId="1564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A29B2367-C767-4DBF-8EBD-EB25C959005B}" dateTime="2016-11-03T09:53:17" maxSheetId="11" userName="Maciejczyk Ewa" r:id="rId77" minRId="1565" maxRId="1567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BACA9BB0-D61E-4D1E-A6BC-3A9C9587EBA9}" dateTime="2016-11-03T10:22:49" maxSheetId="11" userName="Maciejczyk Ewa" r:id="rId78" minRId="1568" maxRId="1599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5A3AA473-0E7A-4122-8122-D104A6855685}" dateTime="2016-11-03T10:23:46" maxSheetId="11" userName="Maciejczyk Ewa" r:id="rId79" minRId="1600" maxRId="1609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B177AE0E-D5F6-4A1B-8F81-68C678EF8FB6}" dateTime="2016-11-03T10:24:48" maxSheetId="11" userName="Maciejczyk Ewa" r:id="rId80" minRId="1610" maxRId="1616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0B1D113C-0E7E-48F6-AF11-0F0E369D3BE3}" dateTime="2016-11-03T10:27:24" maxSheetId="11" userName="Maciejczyk Ewa" r:id="rId81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E367815E-E8BE-4974-814A-D22CE1B3EB7C}" dateTime="2016-11-03T10:29:36" maxSheetId="11" userName="Maciejczyk Ewa" r:id="rId82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E260E3A3-4AA2-488F-849C-899DEA9111D1}" dateTime="2016-11-03T10:30:22" maxSheetId="11" userName="Maciejczyk Ewa" r:id="rId83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74D50C60-A04A-47B7-B9CE-63CF03B288A0}" dateTime="2016-11-03T10:31:05" maxSheetId="11" userName="Maciejczyk Ewa" r:id="rId84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38DDC319-9EE0-428E-A16E-B1157D022649}" dateTime="2016-11-07T09:49:27" maxSheetId="11" userName="Wiechecka Irena" r:id="rId85" minRId="1617" maxRId="1647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74062EEB-842F-4876-A6F9-F8BD2C0DA60A}" dateTime="2016-11-07T09:50:39" maxSheetId="11" userName="Wiechecka Irena" r:id="rId86" minRId="1648" maxRId="1655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FF40AC2D-179B-42E2-A875-FBA5D2A9F6C3}" dateTime="2016-11-07T09:57:40" maxSheetId="11" userName="Wiechecka Irena" r:id="rId87" minRId="1656" maxRId="1657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8A8377CF-4368-4185-900C-4D1643DB38F1}" dateTime="2016-11-07T11:42:07" maxSheetId="11" userName="Wiechecka Irena" r:id="rId88" minRId="1658" maxRId="1660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AF419361-C109-47CB-9A80-760AE14F8537}" dateTime="2016-11-07T11:44:11" maxSheetId="11" userName="Wiechecka Irena" r:id="rId89" minRId="1661" maxRId="1664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47E39030-D3C8-41B7-9510-D4DC42C5F9F7}" dateTime="2016-11-07T11:44:35" maxSheetId="11" userName="Wiechecka Irena" r:id="rId90" minRId="1665" maxRId="1668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9C1C01AC-94CE-41E1-AA34-3C9A99842709}" dateTime="2016-11-07T11:46:44" maxSheetId="11" userName="Wiechecka Irena" r:id="rId91" minRId="1669" maxRId="1676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AA332AD3-9A79-41E5-8FB4-74FF543BABD5}" dateTime="2016-11-07T11:47:26" maxSheetId="11" userName="Wiechecka Irena" r:id="rId92" minRId="1677" maxRId="1680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AB48EC74-25AF-48DC-B60A-66845E91B612}" dateTime="2016-11-07T11:48:15" maxSheetId="11" userName="Wiechecka Irena" r:id="rId93" minRId="1681" maxRId="1684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2E14BE4F-4BD0-4E7D-BCC3-1E4E45CE8E3A}" dateTime="2016-11-07T12:08:47" maxSheetId="11" userName="Wiechecka Irena" r:id="rId94" minRId="1685" maxRId="1687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07019515-8178-40F8-905A-C9FB1660194F}" dateTime="2016-11-07T12:09:53" maxSheetId="11" userName="Wiechecka Irena" r:id="rId95" minRId="1688" maxRId="1698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E28B4A22-A4A8-446A-B1C6-9CF99F54E76E}" dateTime="2016-11-07T12:11:56" maxSheetId="11" userName="Wiechecka Irena" r:id="rId96" minRId="1699" maxRId="1795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980A21B2-1BCE-4B16-8607-9DB6B675DC1B}" dateTime="2016-11-07T12:12:18" maxSheetId="11" userName="Wiechecka Irena" r:id="rId97" minRId="1796" maxRId="1875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26A28DB2-74B8-4034-A770-D9195A1D5250}" dateTime="2016-11-07T12:14:12" maxSheetId="11" userName="Wiechecka Irena" r:id="rId98" minRId="1876" maxRId="1887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E695627C-637C-4E61-8851-C77F30C8DBD8}" dateTime="2016-11-07T12:20:27" maxSheetId="11" userName="Wiechecka Irena" r:id="rId99" minRId="1888" maxRId="1893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C271C8FF-91F2-4597-80B1-1E1E602AEB8A}" dateTime="2016-11-07T12:21:54" maxSheetId="11" userName="Wiechecka Irena" r:id="rId100" minRId="1894" maxRId="1899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60A28FC4-8B2C-4E5D-BF22-2AF7752D655B}" dateTime="2016-11-07T12:23:18" maxSheetId="11" userName="Wiechecka Irena" r:id="rId101" minRId="1900" maxRId="1905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07C83A58-7714-4A7E-9CCA-EC527C54AF74}" dateTime="2016-11-07T12:23:58" maxSheetId="11" userName="Wiechecka Irena" r:id="rId102" minRId="1906" maxRId="1909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E9C787C4-37EC-4C17-95BE-02713AAB573E}" dateTime="2016-11-07T12:25:31" maxSheetId="11" userName="Wiechecka Irena" r:id="rId103" minRId="1910" maxRId="1916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3D546CEC-2783-48B3-8E61-63375C2D37EF}" dateTime="2016-11-07T12:38:40" maxSheetId="11" userName="Wiechecka Irena" r:id="rId104" minRId="1917" maxRId="1923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BF618615-8958-4A03-B6C1-B3AACCDA78E8}" dateTime="2016-11-07T12:40:41" maxSheetId="11" userName="Wiechecka Irena" r:id="rId105" minRId="1924" maxRId="1935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A458D23C-2C66-43FC-9340-1A399FBC876B}" dateTime="2016-11-07T12:43:15" maxSheetId="11" userName="Wiechecka Irena" r:id="rId106" minRId="1936" maxRId="1950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83A8B199-A05A-43C6-A7C3-E35D449C03A6}" dateTime="2016-11-07T12:43:26" maxSheetId="11" userName="Wiechecka Irena" r:id="rId107" minRId="1951" maxRId="1955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28CCC609-CEA0-499E-B18C-90DFA5F5B6AD}" dateTime="2016-11-07T12:54:05" maxSheetId="11" userName="Wiechecka Irena" r:id="rId108" minRId="1956" maxRId="1966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EAE6D8DD-87DA-4BDD-9C2B-05CBE2E012BC}" dateTime="2016-11-07T12:55:20" maxSheetId="11" userName="Wiechecka Irena" r:id="rId109" minRId="1967" maxRId="1976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F6070EC2-F901-4E26-95D9-FAF06EB0F6AA}" dateTime="2016-11-07T12:56:21" maxSheetId="11" userName="Wiechecka Irena" r:id="rId110" minRId="1977" maxRId="1986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8DBD64C7-9A9A-492C-92DB-E13766649B28}" dateTime="2016-11-07T13:02:44" maxSheetId="11" userName="Wiechecka Irena" r:id="rId111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  <header guid="{A3D96B40-92C6-4956-8CB6-4A844D6372C9}" dateTime="2016-11-07T13:03:09" maxSheetId="11" userName="Wiechecka Irena" r:id="rId112">
    <sheetIdMap count="10">
      <sheetId val="1"/>
      <sheetId val="2"/>
      <sheetId val="3"/>
      <sheetId val="4"/>
      <sheetId val="5"/>
      <sheetId val="6"/>
      <sheetId val="7"/>
      <sheetId val="8"/>
      <sheetId val="9"/>
      <sheetId val="10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AAA495E0-27FD-4941-85B8-9038B6AD4FA3}" action="delete"/>
  <rcv guid="{AAA495E0-27FD-4941-85B8-9038B6AD4FA3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20" sId="8" odxf="1" dxf="1" numFmtId="4">
    <nc r="AB61">
      <v>31913686</v>
    </nc>
    <ndxf>
      <font>
        <b/>
        <sz val="10"/>
        <color rgb="FF4B4B4B"/>
        <name val="Arial"/>
        <scheme val="none"/>
      </font>
      <border outline="0">
        <top style="thin">
          <color rgb="FF949494"/>
        </top>
        <bottom style="thin">
          <color rgb="FF949494"/>
        </bottom>
      </border>
    </ndxf>
  </rcc>
  <rfmt sheetId="8" sqref="AB62" start="0" length="0">
    <dxf>
      <border outline="0">
        <top style="thin">
          <color rgb="FF949494"/>
        </top>
        <bottom style="thin">
          <color rgb="FF949494"/>
        </bottom>
      </border>
    </dxf>
  </rfmt>
  <rcc rId="1421" sId="8" odxf="1" dxf="1" numFmtId="4">
    <nc r="AB59">
      <v>3427219</v>
    </nc>
    <ndxf>
      <font>
        <sz val="10"/>
        <color rgb="FF4B4B4B"/>
        <name val="Arial"/>
        <scheme val="none"/>
      </font>
      <border outline="0">
        <top style="thin">
          <color theme="0" tint="-0.499984740745262"/>
        </top>
      </border>
    </ndxf>
  </rcc>
  <rcc rId="1422" sId="8" odxf="1" dxf="1" numFmtId="4">
    <nc r="AB51">
      <v>714412</v>
    </nc>
    <ndxf>
      <font>
        <sz val="10"/>
        <color rgb="FF4B4B4B"/>
        <name val="Arial"/>
        <scheme val="none"/>
      </font>
    </ndxf>
  </rcc>
  <rcc rId="1423" sId="8" odxf="1" dxf="1" numFmtId="4">
    <nc r="AB52">
      <v>425213</v>
    </nc>
    <ndxf>
      <font>
        <sz val="10"/>
        <color rgb="FF4B4B4B"/>
        <name val="Arial"/>
        <scheme val="none"/>
      </font>
    </ndxf>
  </rcc>
  <rfmt sheetId="8" sqref="AB53" start="0" length="0">
    <dxf>
      <font>
        <sz val="10"/>
        <color rgb="FF4B4B4B"/>
        <name val="Arial"/>
        <scheme val="none"/>
      </font>
      <numFmt numFmtId="164" formatCode="#,##0_);[Red]\(#,##0\)"/>
    </dxf>
  </rfmt>
  <rfmt sheetId="8" sqref="AB54" start="0" length="0">
    <dxf>
      <font>
        <sz val="10"/>
        <color rgb="FF4B4B4B"/>
        <name val="Arial"/>
        <scheme val="none"/>
      </font>
    </dxf>
  </rfmt>
  <rfmt sheetId="8" sqref="AB55" start="0" length="0">
    <dxf>
      <font>
        <sz val="10"/>
        <color rgb="FF4B4B4B"/>
        <name val="Arial"/>
        <scheme val="none"/>
      </font>
      <numFmt numFmtId="164" formatCode="#,##0_);[Red]\(#,##0\)"/>
    </dxf>
  </rfmt>
  <rfmt sheetId="8" sqref="AB56" start="0" length="0">
    <dxf>
      <font>
        <sz val="10"/>
        <color rgb="FF4B4B4B"/>
        <name val="Arial"/>
        <scheme val="none"/>
      </font>
    </dxf>
  </rfmt>
  <rcc rId="1424" sId="8" odxf="1" dxf="1" numFmtId="4">
    <nc r="AB57">
      <v>261017</v>
    </nc>
    <ndxf>
      <font>
        <sz val="10"/>
        <color rgb="FF4B4B4B"/>
        <name val="Arial"/>
        <scheme val="none"/>
      </font>
    </ndxf>
  </rcc>
  <rfmt sheetId="8" sqref="AB58" start="0" length="0">
    <dxf>
      <font>
        <sz val="10"/>
        <color rgb="FF4B4B4B"/>
        <name val="Arial"/>
        <scheme val="none"/>
      </font>
      <border outline="0">
        <bottom style="thin">
          <color theme="0" tint="-0.499984740745262"/>
        </bottom>
      </border>
    </dxf>
  </rfmt>
  <rcc rId="1425" sId="8" numFmtId="4">
    <nc r="AB58">
      <v>10913</v>
    </nc>
  </rcc>
  <rcc rId="1426" sId="8" numFmtId="4">
    <nc r="AB53">
      <v>1114</v>
    </nc>
  </rcc>
  <rcc rId="1427" sId="8" numFmtId="4">
    <nc r="AB54">
      <v>1755039</v>
    </nc>
  </rcc>
  <rcc rId="1428" sId="8" numFmtId="4">
    <nc r="AB55">
      <v>64093</v>
    </nc>
  </rcc>
  <rcc rId="1429" sId="8" numFmtId="4">
    <nc r="AB56">
      <v>195418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30" sId="8" odxf="1" dxf="1" numFmtId="4">
    <nc r="AB65">
      <v>8762747</v>
    </nc>
    <ndxf>
      <font>
        <sz val="10"/>
        <color rgb="FF4B4B4B"/>
        <name val="Arial"/>
        <scheme val="none"/>
      </font>
    </ndxf>
  </rcc>
  <rcc rId="1431" sId="8" odxf="1" dxf="1" numFmtId="4">
    <nc r="AB66">
      <v>7823339</v>
    </nc>
    <ndxf>
      <font>
        <sz val="10"/>
        <color rgb="FF4B4B4B"/>
        <name val="Arial"/>
        <scheme val="none"/>
      </font>
    </ndxf>
  </rcc>
  <rcc rId="1432" sId="8" odxf="1" dxf="1" numFmtId="4">
    <nc r="AB67">
      <v>-5424</v>
    </nc>
    <ndxf>
      <font>
        <sz val="10"/>
        <color theme="1"/>
        <name val="Arial"/>
        <scheme val="none"/>
      </font>
    </ndxf>
  </rcc>
  <rfmt sheetId="8" sqref="AB68" start="0" length="0">
    <dxf>
      <font>
        <sz val="10"/>
        <color theme="1"/>
        <name val="Arial"/>
        <scheme val="none"/>
      </font>
      <numFmt numFmtId="169" formatCode="_-* #,##0.00&quot;   &quot;;[Red]\(#,##0.00\)&quot;  &quot;;&quot;-   &quot;"/>
    </dxf>
  </rfmt>
  <rfmt sheetId="8" sqref="AB69" start="0" length="0">
    <dxf>
      <font>
        <sz val="10"/>
        <color theme="1"/>
        <name val="Arial"/>
        <scheme val="none"/>
      </font>
    </dxf>
  </rfmt>
  <rfmt sheetId="8" sqref="AB70" start="0" length="0">
    <dxf>
      <font>
        <sz val="10"/>
        <color theme="1"/>
        <name val="Arial"/>
        <scheme val="none"/>
      </font>
      <border outline="0">
        <bottom style="thin">
          <color rgb="FF949494"/>
        </bottom>
      </border>
    </dxf>
  </rfmt>
  <rfmt sheetId="8" sqref="AB71" start="0" length="0">
    <dxf>
      <font>
        <sz val="10"/>
        <color rgb="FF4B4B4B"/>
        <name val="Arial"/>
        <scheme val="none"/>
      </font>
    </dxf>
  </rfmt>
  <rfmt sheetId="8" sqref="AB72" start="0" length="0">
    <dxf>
      <font>
        <sz val="10"/>
        <color rgb="FF4B4B4B"/>
        <name val="Arial"/>
        <scheme val="none"/>
      </font>
      <numFmt numFmtId="3" formatCode="#,##0"/>
    </dxf>
  </rfmt>
  <rfmt sheetId="8" sqref="AB73" start="0" length="0">
    <dxf>
      <font>
        <sz val="10"/>
        <color rgb="FF4B4B4B"/>
        <name val="Arial"/>
        <scheme val="none"/>
      </font>
    </dxf>
  </rfmt>
  <rfmt sheetId="8" sqref="AB74" start="0" length="0">
    <dxf>
      <font>
        <sz val="10"/>
        <color rgb="FF4B4B4B"/>
        <name val="Arial"/>
        <scheme val="none"/>
      </font>
      <numFmt numFmtId="3" formatCode="#,##0"/>
    </dxf>
  </rfmt>
  <rfmt sheetId="8" sqref="AB75" start="0" length="0">
    <dxf>
      <font>
        <sz val="10"/>
        <color rgb="FF4B4B4B"/>
        <name val="Arial"/>
        <scheme val="none"/>
      </font>
      <border outline="0">
        <top style="thin">
          <color rgb="FF949494"/>
        </top>
        <bottom style="thin">
          <color rgb="FF949494"/>
        </bottom>
      </border>
    </dxf>
  </rfmt>
  <rfmt sheetId="8" sqref="AB76" start="0" length="0">
    <dxf>
      <border outline="0">
        <top style="thin">
          <color rgb="FF949494"/>
        </top>
        <bottom style="thin">
          <color rgb="FF949494"/>
        </bottom>
      </border>
    </dxf>
  </rfmt>
  <rcc rId="1433" sId="8" numFmtId="4">
    <nc r="AB75">
      <v>16377519</v>
    </nc>
  </rcc>
  <rcc rId="1434" sId="8" numFmtId="4">
    <nc r="AB73">
      <v>28534</v>
    </nc>
  </rcc>
  <rcc rId="1435" sId="8" numFmtId="4">
    <nc r="AB71">
      <v>16348985</v>
    </nc>
  </rcc>
  <rcc rId="1436" sId="8" numFmtId="4">
    <nc r="AB69">
      <v>1752</v>
    </nc>
  </rcc>
  <rcc rId="1437" sId="8" numFmtId="34">
    <nc r="AB68">
      <v>0</v>
    </nc>
  </rcc>
  <rcc rId="1438" sId="8" numFmtId="4">
    <nc r="AB70">
      <v>-233429</v>
    </nc>
  </rcc>
  <rfmt sheetId="8" sqref="AB78" start="0" length="0">
    <dxf>
      <font>
        <sz val="10"/>
        <color rgb="FF4B4B4B"/>
        <name val="Arial"/>
        <scheme val="none"/>
      </font>
      <numFmt numFmtId="3" formatCode="#,##0"/>
    </dxf>
  </rfmt>
  <rfmt sheetId="8" sqref="AB79" start="0" length="0">
    <dxf>
      <font>
        <sz val="10"/>
        <color rgb="FF4B4B4B"/>
        <name val="Arial"/>
        <scheme val="none"/>
      </font>
    </dxf>
  </rfmt>
  <rfmt sheetId="8" sqref="AB80" start="0" length="0">
    <dxf>
      <font>
        <sz val="10"/>
        <color rgb="FF4B4B4B"/>
        <name val="Arial"/>
        <scheme val="none"/>
      </font>
    </dxf>
  </rfmt>
  <rfmt sheetId="8" sqref="AB81" start="0" length="0">
    <dxf>
      <font>
        <sz val="10"/>
        <color rgb="FF4B4B4B"/>
        <name val="Arial"/>
        <scheme val="none"/>
      </font>
      <numFmt numFmtId="3" formatCode="#,##0"/>
    </dxf>
  </rfmt>
  <rfmt sheetId="8" sqref="AB82" start="0" length="0">
    <dxf>
      <font>
        <sz val="10"/>
        <color rgb="FF4B4B4B"/>
        <name val="Arial"/>
        <scheme val="none"/>
      </font>
    </dxf>
  </rfmt>
  <rfmt sheetId="8" sqref="AB83" start="0" length="0">
    <dxf>
      <font>
        <sz val="10"/>
        <color rgb="FF4B4B4B"/>
        <name val="Arial"/>
        <scheme val="none"/>
      </font>
    </dxf>
  </rfmt>
  <rfmt sheetId="8" sqref="AB84" start="0" length="0">
    <dxf>
      <font>
        <sz val="10"/>
        <color rgb="FF4B4B4B"/>
        <name val="Arial"/>
        <scheme val="none"/>
      </font>
    </dxf>
  </rfmt>
  <rfmt sheetId="8" sqref="AB85" start="0" length="0">
    <dxf>
      <font>
        <sz val="10"/>
        <color rgb="FF4B4B4B"/>
        <name val="Arial"/>
        <scheme val="none"/>
      </font>
      <border outline="0">
        <bottom style="thin">
          <color theme="0" tint="-0.499984740745262"/>
        </bottom>
      </border>
    </dxf>
  </rfmt>
  <rfmt sheetId="8" sqref="AB86" start="0" length="0">
    <dxf>
      <font>
        <sz val="10"/>
        <color rgb="FF4B4B4B"/>
        <name val="Arial"/>
        <scheme val="none"/>
      </font>
    </dxf>
  </rfmt>
  <rfmt sheetId="8" sqref="AB88" start="0" length="0">
    <dxf>
      <font>
        <sz val="10"/>
        <color rgb="FF4B4B4B"/>
        <name val="Arial"/>
        <scheme val="none"/>
      </font>
      <numFmt numFmtId="3" formatCode="#,##0"/>
    </dxf>
  </rfmt>
  <rfmt sheetId="8" sqref="AB89" start="0" length="0">
    <dxf>
      <font>
        <sz val="10"/>
        <color rgb="FF4B4B4B"/>
        <name val="Arial"/>
        <scheme val="none"/>
      </font>
    </dxf>
  </rfmt>
  <rfmt sheetId="8" sqref="AB90" start="0" length="0">
    <dxf>
      <font>
        <sz val="10"/>
        <color rgb="FF4B4B4B"/>
        <name val="Arial"/>
        <scheme val="none"/>
      </font>
    </dxf>
  </rfmt>
  <rfmt sheetId="8" sqref="AB91" start="0" length="0">
    <dxf>
      <font>
        <sz val="10"/>
        <color rgb="FF4B4B4B"/>
        <name val="Arial"/>
        <scheme val="none"/>
      </font>
    </dxf>
  </rfmt>
  <rfmt sheetId="8" sqref="AB92" start="0" length="0">
    <dxf>
      <font>
        <sz val="10"/>
        <color rgb="FF4B4B4B"/>
        <name val="Arial"/>
        <scheme val="none"/>
      </font>
    </dxf>
  </rfmt>
  <rfmt sheetId="8" sqref="AB93" start="0" length="0">
    <dxf>
      <font>
        <sz val="10"/>
        <color rgb="FF4B4B4B"/>
        <name val="Arial"/>
        <scheme val="none"/>
      </font>
    </dxf>
  </rfmt>
  <rfmt sheetId="8" sqref="AB94" start="0" length="0">
    <dxf>
      <font>
        <sz val="10"/>
        <color rgb="FF4B4B4B"/>
        <name val="Arial"/>
        <scheme val="none"/>
      </font>
    </dxf>
  </rfmt>
  <rfmt sheetId="8" sqref="AB95" start="0" length="0">
    <dxf>
      <font>
        <sz val="10"/>
        <color rgb="FF4B4B4B"/>
        <name val="Arial"/>
        <scheme val="none"/>
      </font>
      <numFmt numFmtId="3" formatCode="#,##0"/>
    </dxf>
  </rfmt>
  <rfmt sheetId="8" sqref="AB96" start="0" length="0">
    <dxf>
      <font>
        <sz val="10"/>
        <color rgb="FF4B4B4B"/>
        <name val="Arial"/>
        <scheme val="none"/>
      </font>
    </dxf>
  </rfmt>
  <rfmt sheetId="8" sqref="AB97" start="0" length="0">
    <dxf>
      <font>
        <sz val="10"/>
        <color theme="1"/>
        <name val="Arial"/>
        <scheme val="none"/>
      </font>
      <numFmt numFmtId="169" formatCode="_-* #,##0.00&quot;   &quot;;[Red]\(#,##0.00\)&quot;  &quot;;&quot;-   &quot;"/>
      <border outline="0">
        <bottom style="thin">
          <color theme="0" tint="-0.499984740745262"/>
        </bottom>
      </border>
    </dxf>
  </rfmt>
  <rfmt sheetId="8" sqref="AB98" start="0" length="0">
    <dxf>
      <font>
        <sz val="10"/>
        <color rgb="FF4B4B4B"/>
        <name val="Arial"/>
        <scheme val="none"/>
      </font>
    </dxf>
  </rfmt>
  <rfmt sheetId="8" sqref="AB99" start="0" length="0">
    <dxf>
      <font>
        <sz val="10"/>
        <color theme="1"/>
        <name val="Arial"/>
        <scheme val="none"/>
      </font>
      <numFmt numFmtId="164" formatCode="#,##0_);[Red]\(#,##0\)"/>
    </dxf>
  </rfmt>
  <rfmt sheetId="8" sqref="AB100" start="0" length="0">
    <dxf>
      <font>
        <sz val="10"/>
        <color rgb="FF4B4B4B"/>
        <name val="Arial"/>
        <scheme val="none"/>
      </font>
      <border outline="0">
        <top style="thin">
          <color rgb="FF949494"/>
        </top>
        <bottom style="thin">
          <color rgb="FF949494"/>
        </bottom>
      </border>
    </dxf>
  </rfmt>
  <rfmt sheetId="8" sqref="AB101" start="0" length="0">
    <dxf>
      <font>
        <sz val="10"/>
        <color theme="1"/>
        <name val="Arial"/>
        <scheme val="none"/>
      </font>
      <numFmt numFmtId="164" formatCode="#,##0_);[Red]\(#,##0\)"/>
    </dxf>
  </rfmt>
  <rfmt sheetId="8" sqref="AB102" start="0" length="0">
    <dxf>
      <font>
        <b/>
        <sz val="10"/>
        <color rgb="FF4B4B4B"/>
        <name val="Arial"/>
        <scheme val="none"/>
      </font>
      <border outline="0">
        <top style="thin">
          <color rgb="FF949494"/>
        </top>
        <bottom style="thin">
          <color rgb="FF949494"/>
        </bottom>
      </border>
    </dxf>
  </rfmt>
  <rcc rId="1439" sId="8" numFmtId="4">
    <nc r="AB102">
      <v>31913686</v>
    </nc>
  </rcc>
  <rcc rId="1440" sId="8" numFmtId="4">
    <nc r="AB100">
      <v>15536167</v>
    </nc>
  </rcc>
  <rcc rId="1441" sId="8" numFmtId="4">
    <nc r="AB86">
      <v>10989315</v>
    </nc>
  </rcc>
  <rcc rId="1442" sId="8" numFmtId="4">
    <nc r="AB98">
      <v>4546852</v>
    </nc>
  </rcc>
  <rcc rId="1443" sId="8" numFmtId="4">
    <nc r="AB78">
      <v>7373149</v>
    </nc>
  </rcc>
  <rcc rId="1444" sId="8" numFmtId="4">
    <nc r="AB79">
      <v>24449</v>
    </nc>
  </rcc>
  <rfmt sheetId="8" sqref="AB80:AB81">
    <dxf>
      <fill>
        <patternFill>
          <bgColor rgb="FFFFFF00"/>
        </patternFill>
      </fill>
    </dxf>
  </rfmt>
  <rcc rId="1445" sId="8" numFmtId="4">
    <nc r="AB82">
      <v>1779311</v>
    </nc>
  </rcc>
  <rcc rId="1446" sId="8" numFmtId="4">
    <nc r="AB83">
      <v>442299</v>
    </nc>
  </rcc>
  <rcc rId="1447" sId="8" numFmtId="4">
    <nc r="AB84">
      <v>628699</v>
    </nc>
  </rcc>
  <rcc rId="1448" sId="8" numFmtId="4">
    <nc r="AB85">
      <v>692020</v>
    </nc>
  </rcc>
  <rcc rId="1449" sId="8" numFmtId="4">
    <nc r="AB91">
      <v>105449</v>
    </nc>
  </rcc>
  <rcc rId="1450" sId="8" odxf="1" dxf="1">
    <nc r="AB80">
      <f>49388-47</f>
    </nc>
    <ndxf>
      <fill>
        <patternFill>
          <bgColor theme="0"/>
        </patternFill>
      </fill>
    </ndxf>
  </rcc>
  <rcc rId="1451" sId="8" odxf="1" dxf="1" numFmtId="4">
    <nc r="AB81">
      <v>47</v>
    </nc>
    <ndxf>
      <fill>
        <patternFill>
          <bgColor theme="0"/>
        </patternFill>
      </fill>
    </ndxf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52" sId="8" numFmtId="34">
    <nc r="AB97">
      <v>0</v>
    </nc>
  </rcc>
  <rcc rId="1453" sId="8" numFmtId="4">
    <nc r="AB88">
      <v>1118289</v>
    </nc>
  </rcc>
  <rcc rId="1454" sId="8" numFmtId="4">
    <nc r="AB89">
      <v>14726</v>
    </nc>
  </rcc>
  <rcc rId="1455" sId="8" numFmtId="4">
    <nc r="AB92">
      <v>133730</v>
    </nc>
  </rcc>
  <rcc rId="1456" sId="8" numFmtId="4">
    <nc r="AB93">
      <v>991762</v>
    </nc>
  </rcc>
  <rcc rId="1457" sId="8" numFmtId="4">
    <nc r="AB95">
      <v>28788</v>
    </nc>
  </rcc>
  <rcc rId="1458" sId="8" numFmtId="4">
    <nc r="AB96">
      <v>560578</v>
    </nc>
  </rcc>
  <rfmt sheetId="8" sqref="AB94">
    <dxf>
      <fill>
        <patternFill>
          <bgColor rgb="FFFFFF00"/>
        </patternFill>
      </fill>
    </dxf>
  </rfmt>
  <rfmt sheetId="8" sqref="AB90">
    <dxf>
      <fill>
        <patternFill>
          <bgColor rgb="FFFFFF00"/>
        </patternFill>
      </fill>
    </dxf>
  </rfmt>
  <rcc rId="1459" sId="8" odxf="1" dxf="1">
    <nc r="AB90">
      <f>1365012-105449</f>
    </nc>
    <ndxf>
      <fill>
        <patternFill>
          <bgColor theme="0"/>
        </patternFill>
      </fill>
    </ndxf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60" sId="8" odxf="1" dxf="1" numFmtId="4">
    <nc r="AB94">
      <v>333967</v>
    </nc>
    <ndxf>
      <fill>
        <patternFill>
          <bgColor theme="0"/>
        </patternFill>
      </fill>
    </ndxf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8" sqref="AB107" start="0" length="0">
    <dxf>
      <numFmt numFmtId="3" formatCode="#,##0"/>
    </dxf>
  </rfmt>
  <rfmt sheetId="8" sqref="AB107" start="0" length="0">
    <dxf>
      <font>
        <sz val="10"/>
        <color theme="1"/>
        <name val="Arial"/>
        <scheme val="none"/>
      </font>
      <numFmt numFmtId="164" formatCode="#,##0_);[Red]\(#,##0\)"/>
    </dxf>
  </rfmt>
  <rfmt sheetId="8" sqref="AB122" start="0" length="0">
    <dxf>
      <font>
        <sz val="10"/>
        <color rgb="FF4B4B4B"/>
        <name val="Arial"/>
        <scheme val="none"/>
      </font>
      <numFmt numFmtId="164" formatCode="#,##0_);[Red]\(#,##0\)"/>
      <border outline="0">
        <top style="thin">
          <color rgb="FF949494"/>
        </top>
        <bottom style="thin">
          <color rgb="FF949494"/>
        </bottom>
      </border>
    </dxf>
  </rfmt>
  <rfmt sheetId="8" sqref="AB137" start="0" length="0">
    <dxf>
      <numFmt numFmtId="164" formatCode="#,##0_);[Red]\(#,##0\)"/>
      <border outline="0">
        <top style="thin">
          <color rgb="FF949494"/>
        </top>
        <bottom style="thin">
          <color rgb="FF949494"/>
        </bottom>
      </border>
    </dxf>
  </rfmt>
  <rfmt sheetId="8" sqref="AB149" start="0" length="0">
    <dxf>
      <font>
        <sz val="10"/>
        <color rgb="FF4B4B4B"/>
        <name val="Arial"/>
        <scheme val="none"/>
      </font>
      <numFmt numFmtId="164" formatCode="#,##0_);[Red]\(#,##0\)"/>
      <border outline="0">
        <top style="thin">
          <color rgb="FF949494"/>
        </top>
        <bottom style="thin">
          <color rgb="FF949494"/>
        </bottom>
      </border>
    </dxf>
  </rfmt>
  <rfmt sheetId="8" sqref="AB109" start="0" length="0">
    <dxf>
      <numFmt numFmtId="164" formatCode="#,##0_);[Red]\(#,##0\)"/>
    </dxf>
  </rfmt>
  <rcc rId="1461" sId="8">
    <nc r="AB107">
      <f>369544-Z107-AA107</f>
    </nc>
  </rcc>
  <rfmt sheetId="8" sqref="AB108" start="0" length="0">
    <dxf>
      <font>
        <sz val="10"/>
        <color theme="1"/>
        <name val="Arial"/>
        <scheme val="none"/>
      </font>
      <numFmt numFmtId="164" formatCode="#,##0_);[Red]\(#,##0\)"/>
    </dxf>
  </rfmt>
  <rcc rId="1462" sId="8" odxf="1" dxf="1">
    <nc r="AB109">
      <f>-78338-Z109-AA109</f>
    </nc>
    <ndxf>
      <font>
        <sz val="10"/>
        <color theme="1"/>
        <name val="Arial"/>
        <scheme val="none"/>
      </font>
    </ndxf>
  </rcc>
  <rfmt sheetId="8" sqref="AB110" start="0" length="0">
    <dxf>
      <font>
        <sz val="10"/>
        <color rgb="FF4B4B4B"/>
        <name val="Arial"/>
        <scheme val="none"/>
      </font>
      <numFmt numFmtId="3" formatCode="#,##0"/>
    </dxf>
  </rfmt>
  <rfmt sheetId="8" sqref="AB111" start="0" length="0">
    <dxf>
      <font>
        <sz val="10"/>
        <color theme="1"/>
        <name val="Arial"/>
        <scheme val="none"/>
      </font>
      <numFmt numFmtId="164" formatCode="#,##0_);[Red]\(#,##0\)"/>
    </dxf>
  </rfmt>
  <rfmt sheetId="8" sqref="AB112" start="0" length="0">
    <dxf>
      <font>
        <sz val="10"/>
        <color rgb="FF4B4B4B"/>
        <name val="Arial"/>
        <scheme val="none"/>
      </font>
      <numFmt numFmtId="3" formatCode="#,##0"/>
    </dxf>
  </rfmt>
  <rfmt sheetId="8" sqref="AB113" start="0" length="0">
    <dxf>
      <font>
        <sz val="10"/>
        <color theme="1"/>
        <name val="Arial"/>
        <scheme val="none"/>
      </font>
      <numFmt numFmtId="164" formatCode="#,##0_);[Red]\(#,##0\)"/>
    </dxf>
  </rfmt>
  <rfmt sheetId="8" sqref="AB114" start="0" length="0">
    <dxf>
      <font>
        <sz val="10"/>
        <color theme="1"/>
        <name val="Arial"/>
        <scheme val="none"/>
      </font>
      <numFmt numFmtId="164" formatCode="#,##0_);[Red]\(#,##0\)"/>
    </dxf>
  </rfmt>
  <rfmt sheetId="8" sqref="AB115" start="0" length="0">
    <dxf>
      <font>
        <sz val="10"/>
        <color rgb="FF4B4B4B"/>
        <name val="Arial"/>
        <scheme val="none"/>
      </font>
      <numFmt numFmtId="3" formatCode="#,##0"/>
    </dxf>
  </rfmt>
  <rfmt sheetId="8" sqref="AB116" start="0" length="0">
    <dxf>
      <font>
        <sz val="10"/>
        <color theme="1"/>
        <name val="Arial"/>
        <scheme val="none"/>
      </font>
      <numFmt numFmtId="164" formatCode="#,##0_);[Red]\(#,##0\)"/>
    </dxf>
  </rfmt>
  <rfmt sheetId="8" sqref="AB117" start="0" length="0">
    <dxf>
      <font>
        <sz val="10"/>
        <color rgb="FF4B4B4B"/>
        <name val="Arial"/>
        <scheme val="none"/>
      </font>
      <numFmt numFmtId="3" formatCode="#,##0"/>
    </dxf>
  </rfmt>
  <rfmt sheetId="8" sqref="AB118" start="0" length="0">
    <dxf>
      <font>
        <sz val="10"/>
        <color theme="1"/>
        <name val="Arial"/>
        <scheme val="none"/>
      </font>
      <numFmt numFmtId="164" formatCode="#,##0_);[Red]\(#,##0\)"/>
    </dxf>
  </rfmt>
  <rfmt sheetId="8" sqref="AB119" start="0" length="0">
    <dxf>
      <font>
        <sz val="10"/>
        <color theme="1"/>
        <name val="Arial"/>
        <scheme val="none"/>
      </font>
      <numFmt numFmtId="164" formatCode="#,##0_);[Red]\(#,##0\)"/>
    </dxf>
  </rfmt>
  <rfmt sheetId="8" sqref="AB120" start="0" length="0">
    <dxf>
      <font>
        <sz val="10"/>
        <color theme="1"/>
        <name val="Arial"/>
        <scheme val="none"/>
      </font>
      <numFmt numFmtId="164" formatCode="#,##0_);[Red]\(#,##0\)"/>
    </dxf>
  </rfmt>
  <rfmt sheetId="8" sqref="AB121" start="0" length="0">
    <dxf>
      <font>
        <sz val="10"/>
        <color theme="1"/>
        <name val="Arial"/>
        <scheme val="none"/>
      </font>
      <numFmt numFmtId="164" formatCode="#,##0_);[Red]\(#,##0\)"/>
    </dxf>
  </rfmt>
  <rfmt sheetId="8" sqref="AB124" start="0" length="0">
    <dxf>
      <font>
        <sz val="10"/>
        <color rgb="FF4B4B4B"/>
        <name val="Arial"/>
        <scheme val="none"/>
      </font>
      <numFmt numFmtId="3" formatCode="#,##0"/>
    </dxf>
  </rfmt>
  <rfmt sheetId="8" sqref="AB125" start="0" length="0">
    <dxf>
      <font>
        <sz val="10"/>
        <color theme="1"/>
        <name val="Arial"/>
        <scheme val="none"/>
      </font>
      <numFmt numFmtId="164" formatCode="#,##0_);[Red]\(#,##0\)"/>
    </dxf>
  </rfmt>
  <rfmt sheetId="8" sqref="AB126" start="0" length="0">
    <dxf>
      <font>
        <sz val="10"/>
        <color theme="1"/>
        <name val="Arial"/>
        <scheme val="none"/>
      </font>
      <numFmt numFmtId="169" formatCode="_-* #,##0.00&quot;   &quot;;[Red]\(#,##0.00\)&quot;  &quot;;&quot;-   &quot;"/>
    </dxf>
  </rfmt>
  <rfmt sheetId="8" sqref="AB127" start="0" length="0">
    <dxf>
      <font>
        <sz val="10"/>
        <color rgb="FF4B4B4B"/>
        <name val="Arial"/>
        <scheme val="none"/>
      </font>
      <numFmt numFmtId="3" formatCode="#,##0"/>
    </dxf>
  </rfmt>
  <rfmt sheetId="8" sqref="AB128" start="0" length="0">
    <dxf>
      <font>
        <sz val="10"/>
        <color theme="1"/>
        <name val="Arial"/>
        <scheme val="none"/>
      </font>
      <numFmt numFmtId="169" formatCode="_-* #,##0.00&quot;   &quot;;[Red]\(#,##0.00\)&quot;  &quot;;&quot;-   &quot;"/>
    </dxf>
  </rfmt>
  <rfmt sheetId="8" sqref="AB129" start="0" length="0">
    <dxf>
      <font>
        <sz val="10"/>
        <color theme="1"/>
        <name val="Arial"/>
        <scheme val="none"/>
      </font>
      <numFmt numFmtId="164" formatCode="#,##0_);[Red]\(#,##0\)"/>
    </dxf>
  </rfmt>
  <rfmt sheetId="8" sqref="AB130" start="0" length="0">
    <dxf>
      <font>
        <sz val="10"/>
        <color theme="1"/>
        <name val="Arial"/>
        <scheme val="none"/>
      </font>
      <numFmt numFmtId="169" formatCode="_-* #,##0.00&quot;   &quot;;[Red]\(#,##0.00\)&quot;  &quot;;&quot;-   &quot;"/>
    </dxf>
  </rfmt>
  <rfmt sheetId="8" sqref="AB131" start="0" length="0">
    <dxf>
      <font>
        <sz val="10"/>
        <color theme="1"/>
        <name val="Arial"/>
        <scheme val="none"/>
      </font>
      <numFmt numFmtId="169" formatCode="_-* #,##0.00&quot;   &quot;;[Red]\(#,##0.00\)&quot;  &quot;;&quot;-   &quot;"/>
    </dxf>
  </rfmt>
  <rfmt sheetId="8" sqref="AB132" start="0" length="0">
    <dxf>
      <font>
        <sz val="10"/>
        <color rgb="FF4B4B4B"/>
        <name val="Arial"/>
        <scheme val="none"/>
      </font>
      <numFmt numFmtId="3" formatCode="#,##0"/>
    </dxf>
  </rfmt>
  <rfmt sheetId="8" sqref="AB133" start="0" length="0">
    <dxf>
      <font>
        <sz val="10"/>
        <color rgb="FF4B4B4B"/>
        <name val="Arial"/>
        <scheme val="none"/>
      </font>
      <numFmt numFmtId="3" formatCode="#,##0"/>
    </dxf>
  </rfmt>
  <rfmt sheetId="8" sqref="AB134" start="0" length="0">
    <dxf>
      <font>
        <sz val="10"/>
        <color theme="1"/>
        <name val="Arial"/>
        <scheme val="none"/>
      </font>
      <numFmt numFmtId="169" formatCode="_-* #,##0.00&quot;   &quot;;[Red]\(#,##0.00\)&quot;  &quot;;&quot;-   &quot;"/>
    </dxf>
  </rfmt>
  <rfmt sheetId="8" sqref="AB135" start="0" length="0">
    <dxf>
      <font>
        <sz val="10"/>
        <color theme="1"/>
        <name val="Arial"/>
        <scheme val="none"/>
      </font>
      <numFmt numFmtId="164" formatCode="#,##0_);[Red]\(#,##0\)"/>
    </dxf>
  </rfmt>
  <rfmt sheetId="8" sqref="AB136" start="0" length="0">
    <dxf>
      <font>
        <sz val="10"/>
        <color theme="1"/>
        <name val="Arial"/>
        <scheme val="none"/>
      </font>
      <numFmt numFmtId="164" formatCode="#,##0_);[Red]\(#,##0\)"/>
    </dxf>
  </rfmt>
  <rfmt sheetId="8" sqref="AB138" start="0" length="0">
    <dxf>
      <numFmt numFmtId="164" formatCode="#,##0_);[Red]\(#,##0\)"/>
    </dxf>
  </rfmt>
  <rfmt sheetId="8" sqref="AB139" start="0" length="0">
    <dxf>
      <font>
        <sz val="10"/>
        <color theme="1"/>
        <name val="Arial"/>
        <scheme val="none"/>
      </font>
      <numFmt numFmtId="164" formatCode="#,##0_);[Red]\(#,##0\)"/>
    </dxf>
  </rfmt>
  <rfmt sheetId="8" sqref="AB140" start="0" length="0">
    <dxf>
      <font>
        <sz val="10"/>
        <color rgb="FF4B4B4B"/>
        <name val="Arial"/>
        <scheme val="none"/>
      </font>
      <numFmt numFmtId="3" formatCode="#,##0"/>
    </dxf>
  </rfmt>
  <rfmt sheetId="8" sqref="AB141" start="0" length="0">
    <dxf>
      <font>
        <sz val="10"/>
        <color theme="1"/>
        <name val="Arial"/>
        <scheme val="none"/>
      </font>
      <numFmt numFmtId="164" formatCode="#,##0_);[Red]\(#,##0\)"/>
    </dxf>
  </rfmt>
  <rfmt sheetId="8" sqref="AB142" start="0" length="0">
    <dxf>
      <font>
        <sz val="10"/>
        <color theme="1"/>
        <name val="Arial"/>
        <scheme val="none"/>
      </font>
      <numFmt numFmtId="169" formatCode="_-* #,##0.00&quot;   &quot;;[Red]\(#,##0.00\)&quot;  &quot;;&quot;-   &quot;"/>
    </dxf>
  </rfmt>
  <rfmt sheetId="8" sqref="AB143" start="0" length="0">
    <dxf>
      <font>
        <sz val="10"/>
        <color theme="1"/>
        <name val="Arial"/>
        <scheme val="none"/>
      </font>
      <numFmt numFmtId="169" formatCode="_-* #,##0.00&quot;   &quot;;[Red]\(#,##0.00\)&quot;  &quot;;&quot;-   &quot;"/>
    </dxf>
  </rfmt>
  <rfmt sheetId="8" sqref="AB144" start="0" length="0">
    <dxf>
      <font>
        <sz val="10"/>
        <color theme="1"/>
        <name val="Arial"/>
        <scheme val="none"/>
      </font>
      <numFmt numFmtId="169" formatCode="_-* #,##0.00&quot;   &quot;;[Red]\(#,##0.00\)&quot;  &quot;;&quot;-   &quot;"/>
    </dxf>
  </rfmt>
  <rfmt sheetId="8" sqref="AB145" start="0" length="0">
    <dxf>
      <font>
        <sz val="10"/>
        <color theme="1"/>
        <name val="Arial"/>
        <scheme val="none"/>
      </font>
      <numFmt numFmtId="164" formatCode="#,##0_);[Red]\(#,##0\)"/>
    </dxf>
  </rfmt>
  <rfmt sheetId="8" sqref="AB146" start="0" length="0">
    <dxf>
      <font>
        <sz val="10"/>
        <color theme="1"/>
        <name val="Arial"/>
        <scheme val="none"/>
      </font>
      <numFmt numFmtId="164" formatCode="#,##0_);[Red]\(#,##0\)"/>
    </dxf>
  </rfmt>
  <rfmt sheetId="8" sqref="AB147" start="0" length="0">
    <dxf>
      <font>
        <sz val="10"/>
        <color rgb="FF4B4B4B"/>
        <name val="Arial"/>
        <scheme val="none"/>
      </font>
      <numFmt numFmtId="164" formatCode="#,##0_);[Red]\(#,##0\)"/>
    </dxf>
  </rfmt>
  <rfmt sheetId="8" sqref="AB148" start="0" length="0">
    <dxf>
      <font>
        <sz val="10"/>
        <color rgb="FF4B4B4B"/>
        <name val="Arial"/>
        <scheme val="none"/>
      </font>
      <numFmt numFmtId="164" formatCode="#,##0_);[Red]\(#,##0\)"/>
    </dxf>
  </rfmt>
  <rfmt sheetId="8" sqref="AB150" start="0" length="0">
    <dxf>
      <font>
        <sz val="10"/>
        <color theme="1"/>
        <name val="Arial"/>
        <scheme val="none"/>
      </font>
      <numFmt numFmtId="164" formatCode="#,##0_);[Red]\(#,##0\)"/>
    </dxf>
  </rfmt>
  <rfmt sheetId="8" sqref="AB151" start="0" length="0">
    <dxf>
      <font>
        <sz val="10"/>
        <color theme="1"/>
        <name val="Arial"/>
        <scheme val="none"/>
      </font>
      <numFmt numFmtId="164" formatCode="#,##0_);[Red]\(#,##0\)"/>
    </dxf>
  </rfmt>
  <rfmt sheetId="8" sqref="AB152" start="0" length="0">
    <dxf>
      <font>
        <sz val="10"/>
        <color rgb="FF4B4B4B"/>
        <name val="Arial"/>
        <scheme val="none"/>
      </font>
      <numFmt numFmtId="3" formatCode="#,##0"/>
    </dxf>
  </rfmt>
  <rfmt sheetId="8" sqref="AB153" start="0" length="0">
    <dxf>
      <font>
        <sz val="10"/>
        <color rgb="FF4B4B4B"/>
        <name val="Arial"/>
        <scheme val="none"/>
      </font>
      <numFmt numFmtId="3" formatCode="#,##0"/>
    </dxf>
  </rfmt>
  <rfmt sheetId="8" sqref="AB154" start="0" length="0">
    <dxf>
      <font>
        <sz val="10"/>
        <color rgb="FF4B4B4B"/>
        <name val="Arial"/>
        <scheme val="none"/>
      </font>
      <numFmt numFmtId="3" formatCode="#,##0"/>
      <border outline="0">
        <bottom style="thin">
          <color theme="0" tint="-0.34998626667073579"/>
        </bottom>
      </border>
    </dxf>
  </rfmt>
  <rcc rId="1463" sId="8" numFmtId="4">
    <nc r="AB110">
      <f>1245251-Z110-AA110</f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64" sId="8" numFmtId="4">
    <nc r="AB122">
      <f>2405354-Z122-AA122</f>
    </nc>
  </rcc>
  <rcc rId="1465" sId="8" numFmtId="4">
    <nc r="AB137">
      <f>-2730803-Z137-AA137</f>
    </nc>
  </rcc>
  <rcc rId="1466" sId="8" numFmtId="4">
    <nc r="AB149">
      <f>129191-Z149-AA149</f>
    </nc>
  </rcc>
  <rcc rId="1467" sId="8">
    <nc r="AB111">
      <f>6259-Z111-AA111</f>
    </nc>
  </rcc>
  <rcc rId="1468" sId="8">
    <nc r="AB112">
      <f>187072-Z112-AA112</f>
    </nc>
  </rcc>
  <rcc rId="1469" sId="8">
    <nc r="AB114">
      <f>117608-Z114-AA114</f>
    </nc>
  </rcc>
  <rcc rId="1470" sId="8" odxf="1" dxf="1">
    <nc r="AB115">
      <f>6259-Z115-AA115</f>
    </nc>
    <ndxf>
      <font>
        <sz val="10"/>
        <color rgb="FF4B4B4B"/>
        <name val="Arial"/>
        <scheme val="none"/>
      </font>
      <numFmt numFmtId="164" formatCode="#,##0_);[Red]\(#,##0\)"/>
    </ndxf>
  </rcc>
  <rcc rId="1471" sId="8">
    <nc r="AB117">
      <f>774407-Z117-AA117</f>
    </nc>
  </rcc>
  <rcc rId="1472" sId="8">
    <nc r="AB118">
      <f>19724-Z118-AA118</f>
    </nc>
  </rcc>
  <rcc rId="1473" sId="8">
    <nc r="AB120">
      <f>-277678-Z120-AA120</f>
    </nc>
  </rcc>
  <rcc rId="1474" sId="8">
    <nc r="AB121">
      <f>-1796-Z121-AA121</f>
    </nc>
  </rcc>
  <rcc rId="1475" sId="8">
    <nc r="AB116">
      <f>-414986-Z116-AA116</f>
    </nc>
  </rcc>
  <rcc rId="1476" sId="8">
    <nc r="AC120" t="inlineStr">
      <is>
        <t>ok</t>
      </is>
    </nc>
  </rcc>
  <rcc rId="1477" sId="8">
    <nc r="AC107" t="inlineStr">
      <is>
        <t>ok</t>
      </is>
    </nc>
  </rcc>
  <rcc rId="1478" sId="8">
    <nc r="AC109" t="inlineStr">
      <is>
        <t>ok</t>
      </is>
    </nc>
  </rcc>
  <rcc rId="1479" sId="8">
    <nc r="AC110" t="inlineStr">
      <is>
        <t>ok</t>
      </is>
    </nc>
  </rcc>
  <rcc rId="1480" sId="8">
    <nc r="AC112" t="inlineStr">
      <is>
        <t>ok</t>
      </is>
    </nc>
  </rcc>
  <rcc rId="1481" sId="8">
    <nc r="AB119">
      <f>-227364-Z119-AA119</f>
    </nc>
  </rcc>
  <rcc rId="1482" sId="8">
    <nc r="AC114" t="inlineStr">
      <is>
        <t>ok</t>
      </is>
    </nc>
  </rcc>
  <rcc rId="1483" sId="8">
    <nc r="AC115" t="inlineStr">
      <is>
        <t>ok</t>
      </is>
    </nc>
  </rcc>
  <rcc rId="1484" sId="8">
    <nc r="AC116" t="inlineStr">
      <is>
        <t>ok</t>
      </is>
    </nc>
  </rcc>
  <rcc rId="1485" sId="8">
    <nc r="AC117" t="inlineStr">
      <is>
        <t>ok</t>
      </is>
    </nc>
  </rcc>
  <rcc rId="1486" sId="8">
    <nc r="AC118" t="inlineStr">
      <is>
        <t>ok</t>
      </is>
    </nc>
  </rcc>
  <rcc rId="1487" sId="8">
    <nc r="AC119" t="inlineStr">
      <is>
        <t>ok</t>
      </is>
    </nc>
  </rcc>
  <rfmt sheetId="8" sqref="AB113">
    <dxf>
      <fill>
        <patternFill>
          <bgColor rgb="FFFFFF00"/>
        </patternFill>
      </fill>
    </dxf>
  </rfmt>
  <rcc rId="1488" sId="8">
    <nc r="AB113">
      <f>679392-Z113-AA113</f>
    </nc>
  </rcc>
  <rcc rId="1489" sId="8">
    <nc r="AC113" t="inlineStr">
      <is>
        <t>?</t>
      </is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90" sId="8">
    <nc r="AB124">
      <f>23836-Z124-AA124</f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91" sId="8">
    <nc r="AB125">
      <f>-2629223-Z125-AA125</f>
    </nc>
  </rcc>
  <rcc rId="1492" sId="8" numFmtId="34">
    <nc r="AB126">
      <v>0</v>
    </nc>
  </rcc>
  <rcc rId="1493" sId="8" numFmtId="34">
    <nc r="AB128">
      <v>0</v>
    </nc>
  </rcc>
  <rcc rId="1494" sId="8">
    <nc r="AB129">
      <f>-30672-Z129-AA129</f>
    </nc>
  </rcc>
  <rcc rId="1495" sId="8" numFmtId="34">
    <nc r="AB130">
      <v>0</v>
    </nc>
  </rcc>
  <rcc rId="1496" sId="8" numFmtId="34">
    <nc r="AB131">
      <v>0</v>
    </nc>
  </rcc>
  <rcc rId="1497" sId="8" numFmtId="34">
    <nc r="AB134">
      <v>0</v>
    </nc>
  </rcc>
  <rcc rId="1498" sId="8">
    <nc r="AB132">
      <f>31020-AA132</f>
    </nc>
  </rcc>
  <rcc rId="1499" sId="8">
    <nc r="AB133">
      <f>439-Z133-AA133</f>
    </nc>
  </rcc>
  <rcc rId="1500" sId="8">
    <nc r="AB135">
      <f>-10775-Z135-AA135</f>
    </nc>
  </rcc>
  <rcc rId="1501" sId="8">
    <nc r="AC124" t="inlineStr">
      <is>
        <t>ok</t>
      </is>
    </nc>
  </rcc>
  <rcc rId="1502" sId="8">
    <nc r="AC125" t="inlineStr">
      <is>
        <t>ok</t>
      </is>
    </nc>
  </rcc>
  <rcc rId="1503" sId="8">
    <nc r="AC129" t="inlineStr">
      <is>
        <t>ok</t>
      </is>
    </nc>
  </rcc>
  <rcc rId="1504" sId="8">
    <nc r="AC132" t="inlineStr">
      <is>
        <t>ok</t>
      </is>
    </nc>
  </rcc>
  <rcc rId="1505" sId="8">
    <nc r="AC135" t="inlineStr">
      <is>
        <t>ok</t>
      </is>
    </nc>
  </rcc>
  <rcc rId="1506" sId="8">
    <nc r="AC127" t="inlineStr">
      <is>
        <t>ok</t>
      </is>
    </nc>
  </rcc>
  <rcc rId="1507" sId="8">
    <nc r="AC133" t="inlineStr">
      <is>
        <t>ok</t>
      </is>
    </nc>
  </rcc>
  <rcc rId="1508" sId="8" numFmtId="4">
    <nc r="AB136">
      <v>0</v>
    </nc>
  </rcc>
  <rcc rId="1509" sId="8">
    <nc r="AC136" t="inlineStr">
      <is>
        <t>ok</t>
      </is>
    </nc>
  </rcc>
  <rfmt sheetId="8" sqref="AC124">
    <dxf>
      <fill>
        <patternFill>
          <bgColor rgb="FFFFC000"/>
        </patternFill>
      </fill>
    </dxf>
  </rfmt>
  <rfmt sheetId="8" sqref="AC125">
    <dxf>
      <fill>
        <patternFill>
          <bgColor rgb="FFFFC000"/>
        </patternFill>
      </fill>
    </dxf>
  </rfmt>
  <rfmt sheetId="8" sqref="AC129">
    <dxf>
      <fill>
        <patternFill>
          <bgColor rgb="FFFFC000"/>
        </patternFill>
      </fill>
    </dxf>
  </rfmt>
  <rfmt sheetId="8" sqref="AC132">
    <dxf>
      <fill>
        <patternFill>
          <bgColor rgb="FFFFC000"/>
        </patternFill>
      </fill>
    </dxf>
  </rfmt>
  <rfmt sheetId="8" sqref="AC135">
    <dxf>
      <fill>
        <patternFill>
          <bgColor rgb="FFFFC000"/>
        </patternFill>
      </fill>
    </dxf>
  </rfmt>
  <rfmt sheetId="8" sqref="AC136">
    <dxf>
      <fill>
        <patternFill>
          <bgColor rgb="FFFFC000"/>
        </patternFill>
      </fill>
    </dxf>
  </rfmt>
  <rcc rId="1510" sId="8">
    <nc r="AB127">
      <f>15648-Z127-AA127+1</f>
    </nc>
  </rcc>
  <rfmt sheetId="8" sqref="AC124:AC136">
    <dxf>
      <fill>
        <patternFill>
          <bgColor theme="0"/>
        </patternFill>
      </fill>
    </dxf>
  </rfmt>
  <rcc rId="1511" sId="8">
    <nc r="AB139">
      <f>-10766-Z139-AA139</f>
    </nc>
  </rcc>
  <rcc rId="1512" sId="8" odxf="1" dxf="1" numFmtId="34">
    <nc r="AB140">
      <v>0</v>
    </nc>
    <ndxf>
      <font>
        <sz val="10"/>
        <color rgb="FF4B4B4B"/>
        <name val="Arial"/>
        <scheme val="none"/>
      </font>
      <numFmt numFmtId="169" formatCode="_-* #,##0.00&quot;   &quot;;[Red]\(#,##0.00\)&quot;  &quot;;&quot;-   &quot;"/>
    </ndxf>
  </rcc>
  <rcc rId="1513" sId="8">
    <nc r="AB141">
      <f>-66959-Z141-AA141</f>
    </nc>
  </rcc>
  <rcc rId="1514" sId="8" numFmtId="34">
    <nc r="AB142">
      <v>0</v>
    </nc>
  </rcc>
  <rcc rId="1515" sId="8" numFmtId="34">
    <nc r="AB144">
      <v>0</v>
    </nc>
  </rcc>
  <rcc rId="1516" sId="8">
    <nc r="AB145">
      <f>-2662-Z145-AA145</f>
    </nc>
  </rcc>
  <rcc rId="1517" sId="8">
    <nc r="AB146">
      <f>-114419-Z146-AA146</f>
    </nc>
  </rcc>
  <rcc rId="1518" sId="8">
    <nc r="AB147">
      <f>-91-Z147-AA147</f>
    </nc>
  </rcc>
  <rcc rId="1519" sId="8">
    <nc r="AC140" t="inlineStr">
      <is>
        <t>ok</t>
      </is>
    </nc>
  </rcc>
  <rcc rId="1520" sId="8">
    <nc r="AC141" t="inlineStr">
      <is>
        <t>ok</t>
      </is>
    </nc>
  </rcc>
  <rcc rId="1521" sId="8">
    <nc r="AC146" t="inlineStr">
      <is>
        <t>ok</t>
      </is>
    </nc>
  </rcc>
  <rcc rId="1522" sId="8">
    <nc r="AC142" t="inlineStr">
      <is>
        <t>ok</t>
      </is>
    </nc>
  </rcc>
  <rfmt sheetId="8" sqref="AB143" start="0" length="0">
    <dxf>
      <numFmt numFmtId="164" formatCode="#,##0_);[Red]\(#,##0\)"/>
    </dxf>
  </rfmt>
  <rcc rId="1523" sId="8">
    <nc r="AC143" t="inlineStr">
      <is>
        <t>ok</t>
      </is>
    </nc>
  </rcc>
  <rcc rId="1524" sId="8">
    <nc r="AB143">
      <f>-2550000-Z143-AA143</f>
    </nc>
  </rcc>
  <rcc rId="1525" sId="8">
    <nc r="AB148">
      <f>13172-Z148-AA148</f>
    </nc>
  </rcc>
  <rfmt sheetId="8" sqref="AC139">
    <dxf>
      <fill>
        <patternFill>
          <bgColor rgb="FF92D050"/>
        </patternFill>
      </fill>
    </dxf>
  </rfmt>
  <rfmt sheetId="8" sqref="AC140">
    <dxf>
      <fill>
        <patternFill>
          <bgColor rgb="FF92D050"/>
        </patternFill>
      </fill>
    </dxf>
  </rfmt>
  <rfmt sheetId="8" sqref="AC147">
    <dxf>
      <fill>
        <patternFill>
          <bgColor rgb="FF92D050"/>
        </patternFill>
      </fill>
    </dxf>
  </rfmt>
  <rfmt sheetId="8" sqref="AC143">
    <dxf>
      <fill>
        <patternFill>
          <bgColor rgb="FF92D050"/>
        </patternFill>
      </fill>
    </dxf>
  </rfmt>
  <rfmt sheetId="8" sqref="AC142">
    <dxf>
      <fill>
        <patternFill>
          <bgColor rgb="FF92D050"/>
        </patternFill>
      </fill>
    </dxf>
  </rfmt>
  <rfmt sheetId="8" sqref="AC141">
    <dxf>
      <fill>
        <patternFill>
          <bgColor rgb="FF92D050"/>
        </patternFill>
      </fill>
    </dxf>
  </rfmt>
  <rfmt sheetId="8" sqref="AC145">
    <dxf>
      <fill>
        <patternFill>
          <bgColor rgb="FF92D050"/>
        </patternFill>
      </fill>
    </dxf>
  </rfmt>
  <rfmt sheetId="8" sqref="AC146">
    <dxf>
      <fill>
        <patternFill>
          <bgColor rgb="FF92D050"/>
        </patternFill>
      </fill>
    </dxf>
  </rfmt>
  <rcc rId="1526" sId="8">
    <nc r="AB150">
      <f>-196258-Z150-AA150</f>
    </nc>
  </rcc>
  <rfmt sheetId="8" sqref="AC139:AC147">
    <dxf>
      <fill>
        <patternFill>
          <bgColor theme="0"/>
        </patternFill>
      </fill>
    </dxf>
  </rfmt>
  <rcc rId="1527" sId="8">
    <nc r="AB151">
      <f>2379-Z151-AA151</f>
    </nc>
  </rcc>
  <rcc rId="1528" sId="8" numFmtId="4">
    <nc r="AB152">
      <v>293973</v>
    </nc>
  </rcc>
  <rcc rId="1529" sId="8" numFmtId="4">
    <nc r="AB153">
      <v>131457</v>
    </nc>
  </rcc>
  <rcc rId="1530" sId="8" numFmtId="4">
    <nc r="AB154">
      <v>186188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7" sqref="C29" start="0" length="0">
    <dxf>
      <font>
        <sz val="10"/>
        <color theme="1" tint="0.34998626667073579"/>
        <name val="Arial"/>
        <scheme val="none"/>
      </font>
      <numFmt numFmtId="167" formatCode="_-* #,##0&quot;   &quot;;[Black]\(#,##0\)&quot;  &quot;;&quot;-   &quot;"/>
      <alignment horizontal="right" vertical="center" readingOrder="0"/>
      <protection locked="0"/>
    </dxf>
  </rfmt>
  <rfmt sheetId="7" sqref="C20" start="0" length="0">
    <dxf>
      <font>
        <sz val="10"/>
        <color theme="1" tint="0.34998626667073579"/>
        <name val="Arial"/>
        <scheme val="none"/>
      </font>
      <numFmt numFmtId="167" formatCode="_-* #,##0&quot;   &quot;;[Black]\(#,##0\)&quot;  &quot;;&quot;-   &quot;"/>
      <alignment horizontal="right" vertical="center" readingOrder="0"/>
      <protection locked="0"/>
    </dxf>
  </rfmt>
  <rfmt sheetId="7" sqref="C21" start="0" length="0">
    <dxf>
      <font>
        <sz val="10"/>
        <color theme="1" tint="0.34998626667073579"/>
        <name val="Arial"/>
        <scheme val="none"/>
      </font>
      <numFmt numFmtId="167" formatCode="_-* #,##0&quot;   &quot;;[Black]\(#,##0\)&quot;  &quot;;&quot;-   &quot;"/>
      <alignment horizontal="right" vertical="center" readingOrder="0"/>
      <protection locked="0"/>
    </dxf>
  </rfmt>
  <rcv guid="{AAA495E0-27FD-4941-85B8-9038B6AD4FA3}" action="delete"/>
  <rcv guid="{AAA495E0-27FD-4941-85B8-9038B6AD4FA3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7" sqref="D34" start="0" length="0">
    <dxf>
      <font>
        <sz val="10"/>
        <color rgb="FF5E5E5E"/>
        <name val="Arial"/>
        <scheme val="none"/>
      </font>
      <numFmt numFmtId="168" formatCode="#,##0_);[Black]\(#,##0\)"/>
      <alignment horizontal="general" vertical="bottom" readingOrder="0"/>
      <protection locked="1"/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51" sId="5" quotePrefix="1">
    <oc r="C2" t="inlineStr">
      <is>
        <r>
          <t>Okres 6 miesięcy 
zakończony 
30 czerwca 2016</t>
        </r>
        <r>
          <rPr>
            <i/>
            <sz val="10"/>
            <color theme="1" tint="0.34998626667073579"/>
            <rFont val="Arial"/>
            <family val="2"/>
            <charset val="238"/>
          </rPr>
          <t xml:space="preserve"> (niebadane)</t>
        </r>
      </is>
    </oc>
    <nc r="C2" t="inlineStr">
      <is>
        <r>
          <t>Okres 9 miesięcy 
zakończony 
30 września 2016</t>
        </r>
        <r>
          <rPr>
            <i/>
            <sz val="10"/>
            <color theme="1" tint="0.34998626667073579"/>
            <rFont val="Arial"/>
            <family val="2"/>
            <charset val="238"/>
          </rPr>
          <t xml:space="preserve"> (niebadane)</t>
        </r>
      </is>
    </nc>
  </rcc>
  <rcc rId="1152" sId="5" quotePrefix="1">
    <oc r="D2" t="inlineStr">
      <is>
        <r>
          <t xml:space="preserve">Okres 6 miesięcy 
zakończony 
30 czerwca 2015 
</t>
        </r>
        <r>
          <rPr>
            <i/>
            <sz val="10"/>
            <color theme="1" tint="0.34998626667073579"/>
            <rFont val="Arial"/>
            <family val="2"/>
            <charset val="238"/>
          </rPr>
          <t>(dane przekształcone niebadane)</t>
        </r>
      </is>
    </oc>
    <nc r="D2" t="inlineStr">
      <is>
        <r>
          <t xml:space="preserve">Okres 9 miesięcy 
zakończony 
30 września 2015 
</t>
        </r>
        <r>
          <rPr>
            <i/>
            <sz val="10"/>
            <color theme="1" tint="0.34998626667073579"/>
            <rFont val="Arial"/>
            <family val="2"/>
            <charset val="238"/>
          </rPr>
          <t>(dane przekształcone niebadane)</t>
        </r>
      </is>
    </nc>
  </rcc>
  <rcc rId="1153" sId="6">
    <oc r="C2" t="inlineStr">
      <is>
        <r>
          <t xml:space="preserve">
Stan na 
30 czerwca 2016
</t>
        </r>
        <r>
          <rPr>
            <i/>
            <sz val="10"/>
            <color rgb="FF4B4B4B"/>
            <rFont val="Arial"/>
            <family val="2"/>
            <charset val="238"/>
          </rPr>
          <t>(niebadane)</t>
        </r>
        <r>
          <rPr>
            <sz val="10"/>
            <color rgb="FF4B4B4B"/>
            <rFont val="Arial"/>
            <family val="2"/>
            <charset val="238"/>
          </rPr>
          <t xml:space="preserve">
</t>
        </r>
      </is>
    </oc>
    <nc r="C2" t="inlineStr">
      <is>
        <r>
          <t xml:space="preserve">
Stan na 
30 września 2016
</t>
        </r>
        <r>
          <rPr>
            <i/>
            <sz val="10"/>
            <color rgb="FF4B4B4B"/>
            <rFont val="Arial"/>
            <family val="2"/>
            <charset val="238"/>
          </rPr>
          <t>(niebadane)</t>
        </r>
        <r>
          <rPr>
            <sz val="10"/>
            <color rgb="FF4B4B4B"/>
            <rFont val="Arial"/>
            <family val="2"/>
            <charset val="238"/>
          </rPr>
          <t xml:space="preserve">
</t>
        </r>
      </is>
    </nc>
  </rcc>
  <rcc rId="1154" sId="7" quotePrefix="1">
    <oc r="C2" t="inlineStr">
      <is>
        <r>
          <t xml:space="preserve">Okres 6 miesięcy 
zakończony 
30 czerwca 2016 </t>
        </r>
        <r>
          <rPr>
            <i/>
            <sz val="10"/>
            <rFont val="Arial"/>
            <family val="2"/>
            <charset val="238"/>
          </rPr>
          <t>(niebadane)</t>
        </r>
      </is>
    </oc>
    <nc r="C2" t="inlineStr">
      <is>
        <r>
          <t xml:space="preserve">Okres 9 miesięcy 
zakończony 
30 września 2016 </t>
        </r>
        <r>
          <rPr>
            <i/>
            <sz val="10"/>
            <rFont val="Arial"/>
            <family val="2"/>
            <charset val="238"/>
          </rPr>
          <t>(niebadane)</t>
        </r>
      </is>
    </nc>
  </rcc>
  <rcc rId="1155" sId="7" quotePrefix="1">
    <oc r="D2" t="inlineStr">
      <is>
        <r>
          <t xml:space="preserve">Okres 6 miesięcy 
zakończony 
30 czerwca 2015 </t>
        </r>
        <r>
          <rPr>
            <i/>
            <sz val="10"/>
            <rFont val="Arial"/>
            <family val="2"/>
            <charset val="238"/>
          </rPr>
          <t>(niebadane)</t>
        </r>
      </is>
    </oc>
    <nc r="D2" t="inlineStr">
      <is>
        <r>
          <t xml:space="preserve">Okres 9 miesięcy 
zakończony 
30 września 2015 </t>
        </r>
        <r>
          <rPr>
            <i/>
            <sz val="10"/>
            <rFont val="Arial"/>
            <family val="2"/>
            <charset val="238"/>
          </rPr>
          <t>(niebadane)</t>
        </r>
      </is>
    </nc>
  </rcc>
  <rfmt sheetId="8" sqref="AB3" start="0" length="0">
    <dxf>
      <font>
        <sz val="10"/>
        <color rgb="FF4B4B4B"/>
        <name val="Arial"/>
        <scheme val="none"/>
      </font>
      <alignment horizontal="center" vertical="center" readingOrder="0"/>
      <border outline="0">
        <top style="thin">
          <color rgb="FFE2007A"/>
        </top>
        <bottom style="thin">
          <color rgb="FF949494"/>
        </bottom>
      </border>
    </dxf>
  </rfmt>
  <rcc rId="1156" sId="8">
    <nc r="AB3" t="inlineStr">
      <is>
        <t>III kwartał 2016</t>
      </is>
    </nc>
  </rcc>
  <rfmt sheetId="8" sqref="AB39" start="0" length="0">
    <dxf>
      <font>
        <sz val="10"/>
        <color rgb="FF4B4B4B"/>
        <name val="Arial"/>
        <scheme val="none"/>
      </font>
      <alignment horizontal="center" vertical="center" wrapText="1" readingOrder="0"/>
      <border outline="0">
        <top style="thin">
          <color rgb="FFE2007A"/>
        </top>
        <bottom style="thin">
          <color rgb="FF949494"/>
        </bottom>
      </border>
    </dxf>
  </rfmt>
  <rcc rId="1157" sId="8">
    <nc r="AB39" t="inlineStr">
      <is>
        <t>30 września 2016</t>
      </is>
    </nc>
  </rcc>
  <rfmt sheetId="8" sqref="AB105" start="0" length="0">
    <dxf>
      <font>
        <sz val="10"/>
        <color rgb="FF4B4B4B"/>
        <name val="Arial"/>
        <scheme val="none"/>
      </font>
      <numFmt numFmtId="3" formatCode="#,##0"/>
      <alignment horizontal="center" vertical="center" wrapText="1" readingOrder="0"/>
      <border outline="0">
        <top style="thin">
          <color rgb="FFE2007A"/>
        </top>
        <bottom style="thin">
          <color rgb="FF949494"/>
        </bottom>
      </border>
    </dxf>
  </rfmt>
  <rcc rId="1158" sId="8">
    <nc r="AB105" t="inlineStr">
      <is>
        <t>III kwartał 2016</t>
      </is>
    </nc>
  </rcc>
  <rfmt sheetId="8" sqref="AB106" start="0" length="0">
    <dxf>
      <border outline="0">
        <top style="thin">
          <color rgb="FF949494"/>
        </top>
        <bottom style="thin">
          <color rgb="FF949494"/>
        </bottom>
      </border>
    </dxf>
  </rfmt>
  <rcv guid="{AAA495E0-27FD-4941-85B8-9038B6AD4FA3}" action="delete"/>
  <rcv guid="{AAA495E0-27FD-4941-85B8-9038B6AD4FA3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8" sqref="AB5">
    <dxf>
      <fill>
        <patternFill>
          <bgColor rgb="FF92D050"/>
        </patternFill>
      </fill>
    </dxf>
  </rfmt>
  <rfmt sheetId="8" sqref="AB6">
    <dxf>
      <fill>
        <patternFill>
          <bgColor rgb="FF92D050"/>
        </patternFill>
      </fill>
    </dxf>
  </rfmt>
  <rfmt sheetId="8" sqref="AB7">
    <dxf>
      <fill>
        <patternFill>
          <bgColor rgb="FF92D050"/>
        </patternFill>
      </fill>
    </dxf>
  </rfmt>
  <rfmt sheetId="8" sqref="AB9">
    <dxf>
      <fill>
        <patternFill>
          <bgColor rgb="FF92D050"/>
        </patternFill>
      </fill>
    </dxf>
  </rfmt>
  <rfmt sheetId="8" sqref="AB10">
    <dxf>
      <fill>
        <patternFill>
          <bgColor rgb="FF92D050"/>
        </patternFill>
      </fill>
    </dxf>
  </rfmt>
  <rfmt sheetId="8" sqref="AB12">
    <dxf>
      <fill>
        <patternFill>
          <bgColor rgb="FF92D050"/>
        </patternFill>
      </fill>
    </dxf>
  </rfmt>
  <rfmt sheetId="8" sqref="AB15">
    <dxf>
      <fill>
        <patternFill>
          <bgColor rgb="FF92D050"/>
        </patternFill>
      </fill>
    </dxf>
  </rfmt>
  <rfmt sheetId="8" sqref="AB16">
    <dxf>
      <fill>
        <patternFill>
          <bgColor rgb="FF92D050"/>
        </patternFill>
      </fill>
    </dxf>
  </rfmt>
  <rfmt sheetId="8" sqref="AB17">
    <dxf>
      <fill>
        <patternFill>
          <bgColor rgb="FF92D050"/>
        </patternFill>
      </fill>
    </dxf>
  </rfmt>
  <rfmt sheetId="8" sqref="AB18">
    <dxf>
      <fill>
        <patternFill>
          <bgColor rgb="FF92D050"/>
        </patternFill>
      </fill>
    </dxf>
  </rfmt>
  <rfmt sheetId="8" sqref="AB8">
    <dxf>
      <fill>
        <patternFill>
          <bgColor rgb="FF92D050"/>
        </patternFill>
      </fill>
    </dxf>
  </rfmt>
  <rfmt sheetId="8" sqref="AB11">
    <dxf>
      <fill>
        <patternFill patternType="solid">
          <bgColor rgb="FF92D050"/>
        </patternFill>
      </fill>
    </dxf>
  </rfmt>
  <rcc rId="1531" sId="8" numFmtId="4">
    <oc r="AB14">
      <v>-3903</v>
    </oc>
    <nc r="AB14">
      <f>-3903-62647</f>
    </nc>
  </rcc>
  <rfmt sheetId="8" sqref="AB13:AB14">
    <dxf>
      <fill>
        <patternFill>
          <bgColor rgb="FF92D050"/>
        </patternFill>
      </fill>
    </dxf>
  </rfmt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8" sqref="AB22">
    <dxf>
      <fill>
        <patternFill>
          <bgColor rgb="FF92D050"/>
        </patternFill>
      </fill>
    </dxf>
  </rfmt>
  <rfmt sheetId="8" sqref="AB29">
    <dxf>
      <fill>
        <patternFill>
          <bgColor rgb="FF92D050"/>
        </patternFill>
      </fill>
    </dxf>
  </rfmt>
  <rfmt sheetId="8" sqref="AB30">
    <dxf>
      <fill>
        <patternFill>
          <bgColor rgb="FF92D050"/>
        </patternFill>
      </fill>
    </dxf>
  </rfmt>
  <rfmt sheetId="8" sqref="AB32:AB33">
    <dxf>
      <fill>
        <patternFill>
          <bgColor rgb="FF92D050"/>
        </patternFill>
      </fill>
    </dxf>
  </rfmt>
  <rfmt sheetId="8" sqref="AB36">
    <dxf>
      <fill>
        <patternFill>
          <bgColor rgb="FF92D050"/>
        </patternFill>
      </fill>
    </dxf>
  </rfmt>
  <rfmt sheetId="8" sqref="AB24">
    <dxf>
      <fill>
        <patternFill>
          <bgColor rgb="FF92D050"/>
        </patternFill>
      </fill>
    </dxf>
  </rfmt>
  <rfmt sheetId="8" sqref="AB26">
    <dxf>
      <fill>
        <patternFill>
          <bgColor rgb="FF92D050"/>
        </patternFill>
      </fill>
    </dxf>
  </rfmt>
  <rfmt sheetId="8" sqref="AB27">
    <dxf>
      <fill>
        <patternFill>
          <bgColor rgb="FF92D050"/>
        </patternFill>
      </fill>
    </dxf>
  </rfmt>
  <rcc rId="1532" sId="8" numFmtId="4">
    <oc r="AB25">
      <v>-6887</v>
    </oc>
    <nc r="AB25">
      <f>-6667-220</f>
    </nc>
  </rcc>
  <rfmt sheetId="8" sqref="AB25">
    <dxf>
      <fill>
        <patternFill>
          <bgColor rgb="FF92D050"/>
        </patternFill>
      </fill>
    </dxf>
  </rfmt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8" sqref="AB42">
    <dxf>
      <fill>
        <patternFill>
          <bgColor rgb="FF92D050"/>
        </patternFill>
      </fill>
    </dxf>
  </rfmt>
  <rfmt sheetId="8" sqref="AB43">
    <dxf>
      <fill>
        <patternFill>
          <bgColor rgb="FF92D050"/>
        </patternFill>
      </fill>
    </dxf>
  </rfmt>
  <rfmt sheetId="8" sqref="AB45">
    <dxf>
      <fill>
        <patternFill>
          <bgColor rgb="FF92D050"/>
        </patternFill>
      </fill>
    </dxf>
  </rfmt>
  <rfmt sheetId="8" sqref="AB47">
    <dxf>
      <fill>
        <patternFill>
          <bgColor rgb="FF92D050"/>
        </patternFill>
      </fill>
    </dxf>
  </rfmt>
  <rfmt sheetId="8" sqref="AB48">
    <dxf>
      <fill>
        <patternFill>
          <bgColor rgb="FF92D050"/>
        </patternFill>
      </fill>
    </dxf>
  </rfmt>
  <rfmt sheetId="8" sqref="AB49">
    <dxf>
      <fill>
        <patternFill>
          <bgColor rgb="FF92D050"/>
        </patternFill>
      </fill>
    </dxf>
  </rfmt>
  <rcc rId="1533" sId="8" numFmtId="4">
    <oc r="AB46">
      <v>471433</v>
    </oc>
    <nc r="AB46">
      <f>227883+243550</f>
    </nc>
  </rcc>
  <rfmt sheetId="8" sqref="AB46">
    <dxf>
      <fill>
        <patternFill>
          <bgColor rgb="FF92D050"/>
        </patternFill>
      </fill>
    </dxf>
  </rfmt>
  <rcc rId="1534" sId="8" numFmtId="4">
    <oc r="AB44">
      <v>1331601</v>
    </oc>
    <nc r="AB44">
      <f>119502+1212099</f>
    </nc>
  </rcc>
  <rfmt sheetId="8" sqref="AB44">
    <dxf>
      <fill>
        <patternFill>
          <bgColor rgb="FF92D050"/>
        </patternFill>
      </fill>
    </dxf>
  </rfmt>
  <rfmt sheetId="8" sqref="AB61">
    <dxf>
      <fill>
        <patternFill>
          <bgColor rgb="FF92D050"/>
        </patternFill>
      </fill>
    </dxf>
  </rfmt>
  <rfmt sheetId="8" sqref="AB59">
    <dxf>
      <fill>
        <patternFill>
          <bgColor rgb="FF92D050"/>
        </patternFill>
      </fill>
    </dxf>
  </rfmt>
  <rfmt sheetId="8" sqref="AB51:AB52">
    <dxf>
      <fill>
        <patternFill>
          <bgColor rgb="FF92D050"/>
        </patternFill>
      </fill>
    </dxf>
  </rfmt>
  <rfmt sheetId="8" sqref="AB57">
    <dxf>
      <fill>
        <patternFill>
          <bgColor rgb="FF92D050"/>
        </patternFill>
      </fill>
    </dxf>
  </rfmt>
  <rfmt sheetId="8" sqref="AB55">
    <dxf>
      <fill>
        <patternFill>
          <bgColor rgb="FF92D050"/>
        </patternFill>
      </fill>
    </dxf>
  </rfmt>
  <rfmt sheetId="8" sqref="AB56">
    <dxf>
      <fill>
        <patternFill>
          <bgColor rgb="FF92D050"/>
        </patternFill>
      </fill>
    </dxf>
  </rfmt>
  <rfmt sheetId="8" sqref="AB53:AB54">
    <dxf>
      <fill>
        <patternFill>
          <bgColor rgb="FF92D050"/>
        </patternFill>
      </fill>
    </dxf>
  </rfmt>
  <rfmt sheetId="8" sqref="AB58">
    <dxf>
      <fill>
        <patternFill>
          <bgColor rgb="FF92D050"/>
        </patternFill>
      </fill>
    </dxf>
  </rfmt>
  <rfmt sheetId="8" sqref="AB65">
    <dxf>
      <fill>
        <patternFill>
          <bgColor rgb="FF92D050"/>
        </patternFill>
      </fill>
    </dxf>
  </rfmt>
  <rfmt sheetId="8" sqref="AB66:AB71">
    <dxf>
      <fill>
        <patternFill>
          <bgColor rgb="FF92D050"/>
        </patternFill>
      </fill>
    </dxf>
  </rfmt>
  <rfmt sheetId="8" sqref="AB73">
    <dxf>
      <fill>
        <patternFill>
          <bgColor rgb="FF92D050"/>
        </patternFill>
      </fill>
    </dxf>
  </rfmt>
  <rfmt sheetId="8" sqref="AB75">
    <dxf>
      <fill>
        <patternFill>
          <bgColor rgb="FF92D050"/>
        </patternFill>
      </fill>
    </dxf>
  </rfmt>
  <rfmt sheetId="8" sqref="AB86">
    <dxf>
      <fill>
        <patternFill>
          <bgColor rgb="FF92D050"/>
        </patternFill>
      </fill>
    </dxf>
  </rfmt>
  <rfmt sheetId="8" sqref="AB98">
    <dxf>
      <fill>
        <patternFill>
          <bgColor rgb="FF92D050"/>
        </patternFill>
      </fill>
    </dxf>
  </rfmt>
  <rfmt sheetId="8" sqref="AB100">
    <dxf>
      <fill>
        <patternFill>
          <bgColor rgb="FF92D050"/>
        </patternFill>
      </fill>
    </dxf>
  </rfmt>
  <rfmt sheetId="8" sqref="AB102">
    <dxf>
      <fill>
        <patternFill>
          <bgColor rgb="FF92D050"/>
        </patternFill>
      </fill>
    </dxf>
  </rfmt>
  <rfmt sheetId="8" sqref="AB84">
    <dxf>
      <fill>
        <patternFill>
          <bgColor rgb="FF92D050"/>
        </patternFill>
      </fill>
    </dxf>
  </rfmt>
  <rfmt sheetId="8" sqref="AB85">
    <dxf>
      <fill>
        <patternFill>
          <bgColor rgb="FF92D050"/>
        </patternFill>
      </fill>
    </dxf>
  </rfmt>
  <rfmt sheetId="8" sqref="AB91">
    <dxf>
      <fill>
        <patternFill>
          <bgColor rgb="FF92D050"/>
        </patternFill>
      </fill>
    </dxf>
  </rfmt>
  <rfmt sheetId="8" sqref="AB81">
    <dxf>
      <fill>
        <patternFill>
          <bgColor rgb="FF92D050"/>
        </patternFill>
      </fill>
    </dxf>
  </rfmt>
  <rfmt sheetId="8" sqref="AB92">
    <dxf>
      <fill>
        <patternFill>
          <bgColor rgb="FF92D050"/>
        </patternFill>
      </fill>
    </dxf>
  </rfmt>
  <rfmt sheetId="8" sqref="AB78">
    <dxf>
      <fill>
        <patternFill>
          <bgColor rgb="FF92D050"/>
        </patternFill>
      </fill>
    </dxf>
  </rfmt>
  <rfmt sheetId="8" sqref="AB79">
    <dxf>
      <fill>
        <patternFill>
          <bgColor rgb="FF92D050"/>
        </patternFill>
      </fill>
    </dxf>
  </rfmt>
  <rfmt sheetId="8" sqref="AB80">
    <dxf>
      <fill>
        <patternFill>
          <bgColor rgb="FF92D050"/>
        </patternFill>
      </fill>
    </dxf>
  </rfmt>
  <rfmt sheetId="8" sqref="AB82:AB83">
    <dxf>
      <fill>
        <patternFill>
          <bgColor rgb="FF92D050"/>
        </patternFill>
      </fill>
    </dxf>
  </rfmt>
  <rfmt sheetId="8" sqref="AB88">
    <dxf>
      <fill>
        <patternFill>
          <bgColor rgb="FF92D050"/>
        </patternFill>
      </fill>
    </dxf>
  </rfmt>
  <rfmt sheetId="8" sqref="AB89">
    <dxf>
      <fill>
        <patternFill>
          <bgColor rgb="FF92D050"/>
        </patternFill>
      </fill>
    </dxf>
  </rfmt>
  <rfmt sheetId="8" sqref="AB90">
    <dxf>
      <fill>
        <patternFill>
          <bgColor rgb="FF92D050"/>
        </patternFill>
      </fill>
    </dxf>
  </rfmt>
  <rfmt sheetId="8" sqref="AB93">
    <dxf>
      <fill>
        <patternFill>
          <bgColor rgb="FF92D050"/>
        </patternFill>
      </fill>
    </dxf>
  </rfmt>
  <rfmt sheetId="8" sqref="AB95">
    <dxf>
      <fill>
        <patternFill>
          <bgColor rgb="FF92D050"/>
        </patternFill>
      </fill>
    </dxf>
  </rfmt>
  <rfmt sheetId="8" sqref="AB96">
    <dxf>
      <fill>
        <patternFill>
          <bgColor rgb="FF92D050"/>
        </patternFill>
      </fill>
    </dxf>
  </rfmt>
  <rcc rId="1535" sId="8">
    <oc r="AB94">
      <v>333967</v>
    </oc>
    <nc r="AB94">
      <f>60027+273940</f>
    </nc>
  </rcc>
  <rfmt sheetId="8" sqref="AB94">
    <dxf>
      <fill>
        <patternFill>
          <bgColor rgb="FF92D050"/>
        </patternFill>
      </fill>
    </dxf>
  </rfmt>
  <rfmt sheetId="8" sqref="AB97">
    <dxf>
      <fill>
        <patternFill>
          <bgColor rgb="FF92D050"/>
        </patternFill>
      </fill>
    </dxf>
  </rfmt>
  <rfmt sheetId="8" sqref="AB122">
    <dxf>
      <fill>
        <patternFill>
          <bgColor rgb="FF92D050"/>
        </patternFill>
      </fill>
    </dxf>
  </rfmt>
  <rfmt sheetId="8" sqref="AB137">
    <dxf>
      <fill>
        <patternFill>
          <bgColor rgb="FF92D050"/>
        </patternFill>
      </fill>
    </dxf>
  </rfmt>
  <rfmt sheetId="8" sqref="AB149">
    <dxf>
      <fill>
        <patternFill>
          <bgColor rgb="FF92D050"/>
        </patternFill>
      </fill>
    </dxf>
  </rfmt>
  <rfmt sheetId="8" sqref="AB150">
    <dxf>
      <fill>
        <patternFill>
          <bgColor rgb="FF92D050"/>
        </patternFill>
      </fill>
    </dxf>
  </rfmt>
  <rfmt sheetId="8" sqref="AB151">
    <dxf>
      <fill>
        <patternFill>
          <bgColor rgb="FF92D050"/>
        </patternFill>
      </fill>
    </dxf>
  </rfmt>
  <rfmt sheetId="8" sqref="AB152:AB154">
    <dxf>
      <fill>
        <patternFill>
          <bgColor rgb="FF92D050"/>
        </patternFill>
      </fill>
    </dxf>
  </rfmt>
  <rfmt sheetId="8" sqref="AB107">
    <dxf>
      <fill>
        <patternFill>
          <bgColor rgb="FF92D050"/>
        </patternFill>
      </fill>
    </dxf>
  </rfmt>
  <rfmt sheetId="8" sqref="AB109">
    <dxf>
      <fill>
        <patternFill>
          <bgColor rgb="FF92D050"/>
        </patternFill>
      </fill>
    </dxf>
  </rfmt>
  <rfmt sheetId="8" sqref="AB110">
    <dxf>
      <fill>
        <patternFill>
          <bgColor rgb="FF92D050"/>
        </patternFill>
      </fill>
    </dxf>
  </rfmt>
  <rcc rId="1536" sId="8" odxf="1" dxf="1">
    <oc r="AB117">
      <f>774407-Z117-AA117</f>
    </oc>
    <nc r="AB117">
      <f>774407-Z117-AA117</f>
    </nc>
    <odxf>
      <font>
        <sz val="10"/>
        <color rgb="FF4B4B4B"/>
        <name val="Arial"/>
        <scheme val="none"/>
      </font>
      <numFmt numFmtId="3" formatCode="#,##0"/>
    </odxf>
    <ndxf>
      <font>
        <sz val="10"/>
        <color rgb="FF4B4B4B"/>
        <name val="Arial"/>
        <scheme val="none"/>
      </font>
      <numFmt numFmtId="164" formatCode="#,##0_);[Red]\(#,##0\)"/>
    </ndxf>
  </rcc>
  <rcc rId="1537" sId="8" odxf="1" dxf="1">
    <oc r="AB112">
      <f>187072-Z112-AA112</f>
    </oc>
    <nc r="AB112">
      <f>187072-Z112-AA112</f>
    </nc>
    <odxf>
      <font>
        <sz val="10"/>
        <color rgb="FF4B4B4B"/>
        <name val="Arial"/>
        <scheme val="none"/>
      </font>
      <numFmt numFmtId="3" formatCode="#,##0"/>
    </odxf>
    <ndxf>
      <font>
        <sz val="10"/>
        <color rgb="FF4B4B4B"/>
        <name val="Arial"/>
        <scheme val="none"/>
      </font>
      <numFmt numFmtId="164" formatCode="#,##0_);[Red]\(#,##0\)"/>
    </ndxf>
  </rcc>
  <rfmt sheetId="8" sqref="AB114:AB119">
    <dxf>
      <fill>
        <patternFill>
          <bgColor rgb="FF92D050"/>
        </patternFill>
      </fill>
    </dxf>
  </rfmt>
  <rfmt sheetId="8" sqref="AB120">
    <dxf>
      <fill>
        <patternFill>
          <bgColor rgb="FF92D050"/>
        </patternFill>
      </fill>
    </dxf>
  </rfmt>
  <rfmt sheetId="8" sqref="Z112:AB112">
    <dxf>
      <fill>
        <patternFill>
          <bgColor rgb="FF92D050"/>
        </patternFill>
      </fill>
    </dxf>
  </rfmt>
  <rfmt sheetId="8" sqref="Z112:AA112">
    <dxf>
      <fill>
        <patternFill patternType="none">
          <bgColor auto="1"/>
        </patternFill>
      </fill>
    </dxf>
  </rfmt>
  <rfmt sheetId="8" sqref="Z112:AA112">
    <dxf>
      <fill>
        <patternFill patternType="solid">
          <bgColor theme="0"/>
        </patternFill>
      </fill>
    </dxf>
  </rfmt>
  <rfmt sheetId="8" sqref="AB124">
    <dxf>
      <fill>
        <patternFill>
          <bgColor rgb="FF92D050"/>
        </patternFill>
      </fill>
    </dxf>
  </rfmt>
  <rfmt sheetId="8" sqref="AB125">
    <dxf>
      <fill>
        <patternFill>
          <bgColor rgb="FF92D050"/>
        </patternFill>
      </fill>
    </dxf>
  </rfmt>
  <rfmt sheetId="8" sqref="AB129">
    <dxf>
      <fill>
        <patternFill>
          <bgColor rgb="FF92D050"/>
        </patternFill>
      </fill>
    </dxf>
  </rfmt>
  <rfmt sheetId="8" sqref="AB132">
    <dxf>
      <fill>
        <patternFill>
          <bgColor rgb="FF92D050"/>
        </patternFill>
      </fill>
    </dxf>
  </rfmt>
  <rfmt sheetId="8" sqref="AB135">
    <dxf>
      <fill>
        <patternFill>
          <bgColor rgb="FF92D050"/>
        </patternFill>
      </fill>
    </dxf>
  </rfmt>
  <rfmt sheetId="8" sqref="AB140">
    <dxf>
      <fill>
        <patternFill>
          <bgColor rgb="FF92D050"/>
        </patternFill>
      </fill>
    </dxf>
  </rfmt>
  <rfmt sheetId="8" sqref="AB141">
    <dxf>
      <fill>
        <patternFill>
          <bgColor rgb="FF92D050"/>
        </patternFill>
      </fill>
    </dxf>
  </rfmt>
  <rfmt sheetId="8" sqref="AB142:AB143">
    <dxf>
      <fill>
        <patternFill>
          <bgColor rgb="FF92D050"/>
        </patternFill>
      </fill>
    </dxf>
  </rfmt>
  <rfmt sheetId="8" sqref="AB146">
    <dxf>
      <fill>
        <patternFill>
          <bgColor rgb="FF92D050"/>
        </patternFill>
      </fill>
    </dxf>
  </rfmt>
  <rcc rId="1538" sId="8">
    <oc r="AC146" t="inlineStr">
      <is>
        <t>ok</t>
      </is>
    </oc>
    <nc r="AC146"/>
  </rcc>
  <rcc rId="1539" sId="8">
    <oc r="AC140" t="inlineStr">
      <is>
        <t>ok</t>
      </is>
    </oc>
    <nc r="AC140"/>
  </rcc>
  <rcc rId="1540" sId="8">
    <oc r="AC141" t="inlineStr">
      <is>
        <t>ok</t>
      </is>
    </oc>
    <nc r="AC141"/>
  </rcc>
  <rcc rId="1541" sId="8">
    <oc r="AC142" t="inlineStr">
      <is>
        <t>ok</t>
      </is>
    </oc>
    <nc r="AC142"/>
  </rcc>
  <rcc rId="1542" sId="8">
    <oc r="AC143" t="inlineStr">
      <is>
        <t>ok</t>
      </is>
    </oc>
    <nc r="AC143"/>
  </rcc>
  <rcc rId="1543" sId="8">
    <oc r="AC124" t="inlineStr">
      <is>
        <t>ok</t>
      </is>
    </oc>
    <nc r="AC124"/>
  </rcc>
  <rcc rId="1544" sId="8">
    <oc r="AC125" t="inlineStr">
      <is>
        <t>ok</t>
      </is>
    </oc>
    <nc r="AC125"/>
  </rcc>
  <rcc rId="1545" sId="8">
    <oc r="AC129" t="inlineStr">
      <is>
        <t>ok</t>
      </is>
    </oc>
    <nc r="AC129"/>
  </rcc>
  <rcc rId="1546" sId="8">
    <oc r="AC132" t="inlineStr">
      <is>
        <t>ok</t>
      </is>
    </oc>
    <nc r="AC132"/>
  </rcc>
  <rcc rId="1547" sId="8">
    <oc r="AC135" t="inlineStr">
      <is>
        <t>ok</t>
      </is>
    </oc>
    <nc r="AC135"/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8" sqref="AB111">
    <dxf>
      <fill>
        <patternFill>
          <bgColor rgb="FF92D050"/>
        </patternFill>
      </fill>
    </dxf>
  </rfmt>
  <rfmt sheetId="8" sqref="AB121">
    <dxf>
      <fill>
        <patternFill>
          <bgColor rgb="FF92D050"/>
        </patternFill>
      </fill>
    </dxf>
  </rfmt>
  <rcc rId="1548" sId="8">
    <oc r="AC107" t="inlineStr">
      <is>
        <t>ok</t>
      </is>
    </oc>
    <nc r="AC107"/>
  </rcc>
  <rcc rId="1549" sId="8">
    <oc r="AC109" t="inlineStr">
      <is>
        <t>ok</t>
      </is>
    </oc>
    <nc r="AC109"/>
  </rcc>
  <rcc rId="1550" sId="8">
    <oc r="AC110" t="inlineStr">
      <is>
        <t>ok</t>
      </is>
    </oc>
    <nc r="AC110"/>
  </rcc>
  <rcc rId="1551" sId="8">
    <oc r="AC112" t="inlineStr">
      <is>
        <t>ok</t>
      </is>
    </oc>
    <nc r="AC112"/>
  </rcc>
  <rcc rId="1552" sId="8">
    <oc r="AC114" t="inlineStr">
      <is>
        <t>ok</t>
      </is>
    </oc>
    <nc r="AC114"/>
  </rcc>
  <rcc rId="1553" sId="8">
    <oc r="AC115" t="inlineStr">
      <is>
        <t>ok</t>
      </is>
    </oc>
    <nc r="AC115"/>
  </rcc>
  <rcc rId="1554" sId="8">
    <oc r="AC116" t="inlineStr">
      <is>
        <t>ok</t>
      </is>
    </oc>
    <nc r="AC116"/>
  </rcc>
  <rcc rId="1555" sId="8">
    <oc r="AC117" t="inlineStr">
      <is>
        <t>ok</t>
      </is>
    </oc>
    <nc r="AC117"/>
  </rcc>
  <rcc rId="1556" sId="8">
    <oc r="AC118" t="inlineStr">
      <is>
        <t>ok</t>
      </is>
    </oc>
    <nc r="AC118"/>
  </rcc>
  <rcc rId="1557" sId="8">
    <oc r="AC119" t="inlineStr">
      <is>
        <t>ok</t>
      </is>
    </oc>
    <nc r="AC119"/>
  </rcc>
  <rcc rId="1558" sId="8">
    <oc r="AC120" t="inlineStr">
      <is>
        <t>ok</t>
      </is>
    </oc>
    <nc r="AC120"/>
  </rcc>
  <rfmt sheetId="8" sqref="AB127">
    <dxf>
      <fill>
        <patternFill>
          <bgColor rgb="FF92D050"/>
        </patternFill>
      </fill>
    </dxf>
  </rfmt>
  <rfmt sheetId="8" sqref="AB126">
    <dxf>
      <fill>
        <patternFill>
          <bgColor rgb="FF92D050"/>
        </patternFill>
      </fill>
    </dxf>
  </rfmt>
  <rfmt sheetId="8" sqref="AB128">
    <dxf>
      <fill>
        <patternFill>
          <bgColor rgb="FF92D050"/>
        </patternFill>
      </fill>
    </dxf>
  </rfmt>
  <rcc rId="1559" sId="8">
    <oc r="AC127" t="inlineStr">
      <is>
        <t>ok</t>
      </is>
    </oc>
    <nc r="AC127"/>
  </rcc>
  <rfmt sheetId="8" sqref="AB130">
    <dxf>
      <fill>
        <patternFill>
          <bgColor rgb="FF92D050"/>
        </patternFill>
      </fill>
    </dxf>
  </rfmt>
  <rfmt sheetId="8" sqref="AB131">
    <dxf>
      <fill>
        <patternFill>
          <bgColor rgb="FF92D050"/>
        </patternFill>
      </fill>
    </dxf>
  </rfmt>
  <rfmt sheetId="8" sqref="AB136" start="0" length="0">
    <dxf>
      <numFmt numFmtId="169" formatCode="_-* #,##0.00&quot;   &quot;;[Red]\(#,##0.00\)&quot;  &quot;;&quot;-   &quot;"/>
    </dxf>
  </rfmt>
  <rfmt sheetId="8" sqref="AB136">
    <dxf>
      <fill>
        <patternFill>
          <bgColor rgb="FF92D050"/>
        </patternFill>
      </fill>
    </dxf>
  </rfmt>
  <rfmt sheetId="8" sqref="AB134">
    <dxf>
      <fill>
        <patternFill>
          <bgColor rgb="FF92D050"/>
        </patternFill>
      </fill>
    </dxf>
  </rfmt>
  <rcc rId="1560" sId="8">
    <oc r="AC136" t="inlineStr">
      <is>
        <t>ok</t>
      </is>
    </oc>
    <nc r="AC136"/>
  </rcc>
  <rcc rId="1561" sId="8">
    <oc r="AC133" t="inlineStr">
      <is>
        <t>ok</t>
      </is>
    </oc>
    <nc r="AC133"/>
  </rcc>
  <rfmt sheetId="8" sqref="AB133">
    <dxf>
      <fill>
        <patternFill>
          <bgColor rgb="FF92D050"/>
        </patternFill>
      </fill>
    </dxf>
  </rfmt>
  <rfmt sheetId="8" sqref="AB139">
    <dxf>
      <fill>
        <patternFill>
          <bgColor rgb="FF92D050"/>
        </patternFill>
      </fill>
    </dxf>
  </rfmt>
  <rfmt sheetId="8" sqref="AB144">
    <dxf>
      <fill>
        <patternFill>
          <bgColor rgb="FF92D050"/>
        </patternFill>
      </fill>
    </dxf>
  </rfmt>
  <rfmt sheetId="8" sqref="AB145">
    <dxf>
      <fill>
        <patternFill>
          <bgColor rgb="FF92D050"/>
        </patternFill>
      </fill>
    </dxf>
  </rfmt>
  <rfmt sheetId="8" sqref="Z147:AB147">
    <dxf>
      <fill>
        <patternFill>
          <bgColor rgb="FF92D050"/>
        </patternFill>
      </fill>
    </dxf>
  </rfmt>
  <rfmt sheetId="8" sqref="AB148">
    <dxf>
      <fill>
        <patternFill>
          <bgColor rgb="FFFFFF00"/>
        </patternFill>
      </fill>
    </dxf>
  </rfmt>
  <rcc rId="1562" sId="8">
    <nc r="AC148" t="inlineStr">
      <is>
        <t>?</t>
      </is>
    </nc>
  </rcc>
  <rfmt sheetId="8" sqref="AB23">
    <dxf>
      <fill>
        <patternFill>
          <bgColor rgb="FFFFFF00"/>
        </patternFill>
      </fill>
    </dxf>
  </rfmt>
  <rcc rId="1563" sId="8">
    <oc r="AB23">
      <v>1198</v>
    </oc>
    <nc r="AB23">
      <f>-265+75-Z23-AA23</f>
    </nc>
  </rcc>
  <rfmt sheetId="8" sqref="AB23">
    <dxf>
      <fill>
        <patternFill>
          <bgColor rgb="FF92D050"/>
        </patternFill>
      </fill>
    </dxf>
  </rfmt>
  <rfmt sheetId="8" sqref="Z147:AA147">
    <dxf>
      <fill>
        <patternFill>
          <bgColor theme="0"/>
        </patternFill>
      </fill>
    </dxf>
  </rfmt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7" sqref="C15" start="0" length="0">
    <dxf>
      <font>
        <sz val="10"/>
        <color rgb="FF5E5E5E"/>
        <name val="Arial"/>
        <scheme val="none"/>
      </font>
      <numFmt numFmtId="168" formatCode="#,##0_);[Black]\(#,##0\)"/>
      <alignment horizontal="general" vertical="bottom" readingOrder="0"/>
      <protection locked="1"/>
    </dxf>
  </rfmt>
  <rfmt sheetId="8" sqref="AB5:AB18">
    <dxf>
      <fill>
        <patternFill>
          <bgColor theme="0"/>
        </patternFill>
      </fill>
    </dxf>
  </rfmt>
  <rfmt sheetId="8" sqref="AB13">
    <dxf>
      <fill>
        <patternFill>
          <bgColor theme="7" tint="0.39997558519241921"/>
        </patternFill>
      </fill>
    </dxf>
  </rfmt>
  <rfmt sheetId="8" sqref="AB21:AB36">
    <dxf>
      <fill>
        <patternFill>
          <bgColor theme="0"/>
        </patternFill>
      </fill>
    </dxf>
  </rfmt>
  <rfmt sheetId="8" sqref="Z23:AB23">
    <dxf>
      <fill>
        <patternFill>
          <bgColor theme="5" tint="0.59999389629810485"/>
        </patternFill>
      </fill>
    </dxf>
  </rfmt>
  <rfmt sheetId="8" sqref="Z23:AB23">
    <dxf>
      <fill>
        <patternFill>
          <bgColor theme="0"/>
        </patternFill>
      </fill>
    </dxf>
  </rfmt>
  <rcc rId="1564" sId="8" numFmtId="34">
    <oc r="AB36">
      <v>0.15</v>
    </oc>
    <nc r="AB36">
      <v>0.16</v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8" sqref="AB13">
    <dxf>
      <fill>
        <patternFill>
          <bgColor rgb="FFFFFF00"/>
        </patternFill>
      </fill>
    </dxf>
  </rfmt>
  <rfmt sheetId="8" sqref="AB42:AB49">
    <dxf>
      <fill>
        <patternFill>
          <bgColor theme="0"/>
        </patternFill>
      </fill>
    </dxf>
  </rfmt>
  <rcc rId="1565" sId="8" numFmtId="4">
    <oc r="AB44">
      <f>119502+1212099</f>
    </oc>
    <nc r="AB44">
      <v>1331601</v>
    </nc>
  </rcc>
  <rcc rId="1566" sId="8" numFmtId="4">
    <oc r="AB46">
      <f>227883+243550</f>
    </oc>
    <nc r="AB46">
      <v>471433</v>
    </nc>
  </rcc>
  <rfmt sheetId="8" sqref="AB51:AB61">
    <dxf>
      <fill>
        <patternFill>
          <bgColor theme="0"/>
        </patternFill>
      </fill>
    </dxf>
  </rfmt>
  <rfmt sheetId="8" sqref="AB65:AB75">
    <dxf>
      <fill>
        <patternFill>
          <bgColor theme="0"/>
        </patternFill>
      </fill>
    </dxf>
  </rfmt>
  <rfmt sheetId="8" sqref="AB69" start="0" length="0">
    <dxf>
      <font>
        <sz val="10"/>
        <color rgb="FF4B4B4B"/>
        <name val="Arial"/>
        <scheme val="none"/>
      </font>
      <numFmt numFmtId="3" formatCode="#,##0"/>
    </dxf>
  </rfmt>
  <rfmt sheetId="8" sqref="AA69" start="0" length="0">
    <dxf>
      <font>
        <sz val="10"/>
        <color rgb="FF4B4B4B"/>
        <name val="Arial"/>
        <scheme val="none"/>
      </font>
      <numFmt numFmtId="3" formatCode="#,##0"/>
    </dxf>
  </rfmt>
  <rfmt sheetId="8" sqref="AB78:AB86">
    <dxf>
      <fill>
        <patternFill>
          <bgColor theme="0"/>
        </patternFill>
      </fill>
    </dxf>
  </rfmt>
  <rcc rId="1567" sId="8" numFmtId="4">
    <oc r="AB80">
      <f>49388-47</f>
    </oc>
    <nc r="AB80">
      <v>49341</v>
    </nc>
  </rcc>
  <rfmt sheetId="8" sqref="AB87:AB98">
    <dxf>
      <fill>
        <patternFill>
          <bgColor theme="0"/>
        </patternFill>
      </fill>
    </dxf>
  </rfmt>
  <rfmt sheetId="8" sqref="AB100 AB102">
    <dxf>
      <fill>
        <patternFill>
          <bgColor theme="0"/>
        </patternFill>
      </fill>
    </dxf>
  </rfmt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8" sqref="AB107:AB154">
    <dxf>
      <fill>
        <patternFill>
          <bgColor theme="0"/>
        </patternFill>
      </fill>
    </dxf>
  </rfmt>
  <rfmt sheetId="8" sqref="AA113" start="0" length="0">
    <dxf>
      <font>
        <sz val="10"/>
        <color rgb="FF4B4B4B"/>
        <name val="Arial"/>
        <scheme val="none"/>
      </font>
      <numFmt numFmtId="3" formatCode="#,##0"/>
    </dxf>
  </rfmt>
  <rfmt sheetId="8" sqref="AA114" start="0" length="0">
    <dxf>
      <font>
        <sz val="10"/>
        <color rgb="FF4B4B4B"/>
        <name val="Arial"/>
        <scheme val="none"/>
      </font>
      <numFmt numFmtId="3" formatCode="#,##0"/>
    </dxf>
  </rfmt>
  <rcc rId="1568" sId="8" odxf="1" dxf="1">
    <oc r="AB112">
      <f>187072-Z112-AA112</f>
    </oc>
    <nc r="AB112">
      <f>187072-Z112-AA112</f>
    </nc>
    <odxf>
      <font>
        <sz val="10"/>
        <name val="Arial"/>
        <scheme val="none"/>
      </font>
      <numFmt numFmtId="164" formatCode="#,##0_);[Red]\(#,##0\)"/>
    </odxf>
    <ndxf>
      <font>
        <sz val="10"/>
        <color rgb="FF4B4B4B"/>
        <name val="Arial"/>
        <scheme val="none"/>
      </font>
      <numFmt numFmtId="3" formatCode="#,##0"/>
    </ndxf>
  </rcc>
  <rcc rId="1569" sId="8" odxf="1" dxf="1">
    <oc r="AB114">
      <f>117608-Z114-AA114</f>
    </oc>
    <nc r="AB114">
      <f>117608-Z114-AA114</f>
    </nc>
    <odxf>
      <font>
        <sz val="10"/>
        <name val="Arial"/>
        <scheme val="none"/>
      </font>
      <numFmt numFmtId="164" formatCode="#,##0_);[Red]\(#,##0\)"/>
    </odxf>
    <ndxf>
      <font>
        <sz val="10"/>
        <color rgb="FF4B4B4B"/>
        <name val="Arial"/>
        <scheme val="none"/>
      </font>
      <numFmt numFmtId="3" formatCode="#,##0"/>
    </ndxf>
  </rcc>
  <rcc rId="1570" sId="8" odxf="1" dxf="1">
    <oc r="AB117">
      <f>774407-Z117-AA117</f>
    </oc>
    <nc r="AB117">
      <f>774407-Z117-AA117</f>
    </nc>
    <odxf>
      <font>
        <sz val="10"/>
        <name val="Arial"/>
        <scheme val="none"/>
      </font>
      <numFmt numFmtId="164" formatCode="#,##0_);[Red]\(#,##0\)"/>
    </odxf>
    <ndxf>
      <font>
        <sz val="10"/>
        <color rgb="FF4B4B4B"/>
        <name val="Arial"/>
        <scheme val="none"/>
      </font>
      <numFmt numFmtId="3" formatCode="#,##0"/>
    </ndxf>
  </rcc>
  <rcc rId="1571" sId="8" odxf="1" dxf="1">
    <oc r="AB118">
      <f>19724-Z118-AA118</f>
    </oc>
    <nc r="AB118">
      <f>19724-Z118-AA118</f>
    </nc>
    <odxf>
      <font>
        <sz val="10"/>
        <name val="Arial"/>
        <scheme val="none"/>
      </font>
      <numFmt numFmtId="164" formatCode="#,##0_);[Red]\(#,##0\)"/>
    </odxf>
    <ndxf>
      <font>
        <sz val="10"/>
        <color rgb="FF4B4B4B"/>
        <name val="Arial"/>
        <scheme val="none"/>
      </font>
      <numFmt numFmtId="3" formatCode="#,##0"/>
    </ndxf>
  </rcc>
  <rcc rId="1572" sId="8" odxf="1" dxf="1">
    <oc r="AB119">
      <f>-227364-Z119-AA119</f>
    </oc>
    <nc r="AB119">
      <f>-227364-Z119-AA119</f>
    </nc>
    <odxf>
      <font>
        <sz val="10"/>
        <name val="Arial"/>
        <scheme val="none"/>
      </font>
      <numFmt numFmtId="164" formatCode="#,##0_);[Red]\(#,##0\)"/>
    </odxf>
    <ndxf>
      <font>
        <sz val="10"/>
        <color rgb="FF4B4B4B"/>
        <name val="Arial"/>
        <scheme val="none"/>
      </font>
      <numFmt numFmtId="3" formatCode="#,##0"/>
    </ndxf>
  </rcc>
  <rfmt sheetId="8" sqref="AA118" start="0" length="0">
    <dxf>
      <font>
        <sz val="10"/>
        <color rgb="FF4B4B4B"/>
        <name val="Arial"/>
        <scheme val="none"/>
      </font>
      <numFmt numFmtId="3" formatCode="#,##0"/>
    </dxf>
  </rfmt>
  <rfmt sheetId="8" sqref="AA111" start="0" length="0">
    <dxf>
      <font>
        <sz val="10"/>
        <color rgb="FF4B4B4B"/>
        <name val="Arial"/>
        <scheme val="none"/>
      </font>
      <numFmt numFmtId="3" formatCode="#,##0"/>
    </dxf>
  </rfmt>
  <rcc rId="1573" sId="8" odxf="1" dxf="1">
    <oc r="AB107">
      <f>369544-Z107-AA107</f>
    </oc>
    <nc r="AB107">
      <f>369544-Z107-AA107</f>
    </nc>
    <odxf>
      <font>
        <sz val="10"/>
        <name val="Arial"/>
        <scheme val="none"/>
      </font>
      <numFmt numFmtId="164" formatCode="#,##0_);[Red]\(#,##0\)"/>
    </odxf>
    <ndxf>
      <font>
        <sz val="10"/>
        <color rgb="FF4B4B4B"/>
        <name val="Arial"/>
        <scheme val="none"/>
      </font>
      <numFmt numFmtId="3" formatCode="#,##0"/>
    </ndxf>
  </rcc>
  <rfmt sheetId="8" sqref="AB107:AB110">
    <dxf>
      <fill>
        <patternFill>
          <bgColor theme="4" tint="0.39997558519241921"/>
        </patternFill>
      </fill>
    </dxf>
  </rfmt>
  <rfmt sheetId="8" sqref="Z114:AB114">
    <dxf>
      <fill>
        <patternFill>
          <bgColor theme="4" tint="0.39997558519241921"/>
        </patternFill>
      </fill>
    </dxf>
  </rfmt>
  <rfmt sheetId="8" sqref="Z115:AB115">
    <dxf>
      <fill>
        <patternFill>
          <bgColor theme="4" tint="0.39997558519241921"/>
        </patternFill>
      </fill>
    </dxf>
  </rfmt>
  <rfmt sheetId="8" sqref="Z116:AB116">
    <dxf>
      <fill>
        <patternFill>
          <bgColor theme="4" tint="0.39997558519241921"/>
        </patternFill>
      </fill>
    </dxf>
  </rfmt>
  <rfmt sheetId="8" sqref="Z117:AB117">
    <dxf>
      <fill>
        <patternFill>
          <bgColor theme="4" tint="0.39997558519241921"/>
        </patternFill>
      </fill>
    </dxf>
  </rfmt>
  <rfmt sheetId="8" sqref="Z118:AB118">
    <dxf>
      <fill>
        <patternFill>
          <bgColor theme="4" tint="0.39997558519241921"/>
        </patternFill>
      </fill>
    </dxf>
  </rfmt>
  <rfmt sheetId="8" sqref="Z119:AB119">
    <dxf>
      <fill>
        <patternFill>
          <bgColor theme="4" tint="0.39997558519241921"/>
        </patternFill>
      </fill>
    </dxf>
  </rfmt>
  <rfmt sheetId="8" sqref="Z120:AB120">
    <dxf>
      <fill>
        <patternFill>
          <bgColor theme="4" tint="0.39997558519241921"/>
        </patternFill>
      </fill>
    </dxf>
  </rfmt>
  <rfmt sheetId="8" sqref="Z112:AB112">
    <dxf>
      <fill>
        <patternFill>
          <bgColor theme="4" tint="0.39997558519241921"/>
        </patternFill>
      </fill>
    </dxf>
  </rfmt>
  <rfmt sheetId="8" sqref="Z111:AB111">
    <dxf>
      <fill>
        <patternFill>
          <bgColor theme="4" tint="0.39997558519241921"/>
        </patternFill>
      </fill>
    </dxf>
  </rfmt>
  <rcc rId="1574" sId="8">
    <oc r="AC113" t="inlineStr">
      <is>
        <t>?</t>
      </is>
    </oc>
    <nc r="AC113"/>
  </rcc>
  <rfmt sheetId="8" sqref="Z107:AB121">
    <dxf>
      <fill>
        <patternFill>
          <bgColor theme="0"/>
        </patternFill>
      </fill>
    </dxf>
  </rfmt>
  <rcc rId="1575" sId="8" numFmtId="4">
    <oc r="AB107">
      <f>369544-Z107-AA107</f>
    </oc>
    <nc r="AB107">
      <v>336869</v>
    </nc>
  </rcc>
  <rcc rId="1576" sId="8" numFmtId="4">
    <oc r="AB109">
      <f>-78338-Z109-AA109</f>
    </oc>
    <nc r="AB109">
      <v>-18477</v>
    </nc>
  </rcc>
  <rcc rId="1577" sId="8" numFmtId="4">
    <oc r="AB110">
      <f>1245251-Z110-AA110</f>
    </oc>
    <nc r="AB110">
      <v>423879</v>
    </nc>
  </rcc>
  <rcc rId="1578" sId="8" numFmtId="4">
    <oc r="AB111">
      <f>6259-Z111-AA111</f>
    </oc>
    <nc r="AB111">
      <v>-22110</v>
    </nc>
  </rcc>
  <rcc rId="1579" sId="8" numFmtId="4">
    <oc r="AB112">
      <f>187072-Z112-AA112</f>
    </oc>
    <nc r="AB112">
      <v>60686</v>
    </nc>
  </rcc>
  <rcc rId="1580" sId="8" numFmtId="4">
    <oc r="AB113">
      <f>679392-Z113-AA113</f>
    </oc>
    <nc r="AB113">
      <v>-2954</v>
    </nc>
  </rcc>
  <rcc rId="1581" sId="8" numFmtId="4">
    <oc r="AB114">
      <f>117608-Z114-AA114</f>
    </oc>
    <nc r="AB114">
      <v>87692</v>
    </nc>
  </rcc>
  <rcc rId="1582" sId="8" numFmtId="4">
    <oc r="AB115">
      <f>6259-Z115-AA115</f>
    </oc>
    <nc r="AB115">
      <v>-21413</v>
    </nc>
  </rcc>
  <rcc rId="1583" sId="8" numFmtId="4">
    <oc r="AB116">
      <f>-414986-Z116-AA116</f>
    </oc>
    <nc r="AB116">
      <v>-104691</v>
    </nc>
  </rcc>
  <rcc rId="1584" sId="8" numFmtId="4">
    <oc r="AB117">
      <f>774407-Z117-AA117</f>
    </oc>
    <nc r="AB117">
      <v>14266</v>
    </nc>
  </rcc>
  <rcc rId="1585" sId="8" numFmtId="4">
    <oc r="AB118">
      <f>19724-Z118-AA118</f>
    </oc>
    <nc r="AB118">
      <v>8296</v>
    </nc>
  </rcc>
  <rcc rId="1586" sId="8" numFmtId="4">
    <oc r="AB119">
      <f>-227364-Z119-AA119</f>
    </oc>
    <nc r="AB119">
      <v>284712</v>
    </nc>
  </rcc>
  <rcc rId="1587" sId="8" numFmtId="4">
    <oc r="AB120">
      <f>-277678-Z120-AA120</f>
    </oc>
    <nc r="AB120">
      <v>-58291</v>
    </nc>
  </rcc>
  <rcc rId="1588" sId="8" numFmtId="4">
    <oc r="AB121">
      <f>-1796-Z121-AA121</f>
    </oc>
    <nc r="AB121">
      <v>-281</v>
    </nc>
  </rcc>
  <rcc rId="1589" sId="8" numFmtId="4">
    <oc r="AB122">
      <f>2405354-Z122-AA122</f>
    </oc>
    <nc r="AB122">
      <v>988183</v>
    </nc>
  </rcc>
  <rfmt sheetId="8" sqref="Z124:AB124">
    <dxf>
      <fill>
        <patternFill>
          <bgColor theme="4" tint="0.39997558519241921"/>
        </patternFill>
      </fill>
    </dxf>
  </rfmt>
  <rfmt sheetId="8" sqref="Z125:AB125">
    <dxf>
      <fill>
        <patternFill>
          <bgColor theme="4" tint="0.39997558519241921"/>
        </patternFill>
      </fill>
    </dxf>
  </rfmt>
  <rfmt sheetId="8" sqref="Z127:AB127">
    <dxf>
      <fill>
        <patternFill>
          <bgColor theme="4" tint="0.39997558519241921"/>
        </patternFill>
      </fill>
    </dxf>
  </rfmt>
  <rfmt sheetId="8" sqref="Z129:AB129">
    <dxf>
      <fill>
        <patternFill>
          <bgColor theme="4" tint="0.39997558519241921"/>
        </patternFill>
      </fill>
    </dxf>
  </rfmt>
  <rfmt sheetId="8" sqref="Z132:AB132">
    <dxf>
      <fill>
        <patternFill>
          <bgColor theme="4" tint="0.39997558519241921"/>
        </patternFill>
      </fill>
    </dxf>
  </rfmt>
  <rfmt sheetId="8" sqref="Z133:AB133">
    <dxf>
      <fill>
        <patternFill>
          <bgColor theme="4" tint="0.39997558519241921"/>
        </patternFill>
      </fill>
    </dxf>
  </rfmt>
  <rfmt sheetId="8" sqref="Z135:AB135">
    <dxf>
      <fill>
        <patternFill>
          <bgColor theme="4" tint="0.39997558519241921"/>
        </patternFill>
      </fill>
    </dxf>
  </rfmt>
  <rfmt sheetId="8" sqref="Z136:AB136">
    <dxf>
      <fill>
        <patternFill>
          <bgColor theme="4" tint="0.39997558519241921"/>
        </patternFill>
      </fill>
    </dxf>
  </rfmt>
  <rfmt sheetId="8" sqref="Z124:AB137">
    <dxf>
      <fill>
        <patternFill>
          <bgColor theme="0"/>
        </patternFill>
      </fill>
    </dxf>
  </rfmt>
  <rcc rId="1590" sId="8" numFmtId="4">
    <oc r="AB124">
      <f>23836-Z124-AA124</f>
    </oc>
    <nc r="AB124">
      <v>8433</v>
    </nc>
  </rcc>
  <rcc rId="1591" sId="8" numFmtId="4">
    <oc r="AB125">
      <f>-2629223-Z125-AA125</f>
    </oc>
    <nc r="AB125">
      <v>-859593</v>
    </nc>
  </rcc>
  <rcc rId="1592" sId="8" numFmtId="4">
    <oc r="AB127">
      <f>15648-Z127-AA127+1</f>
    </oc>
    <nc r="AB127">
      <v>4532</v>
    </nc>
  </rcc>
  <rcc rId="1593" sId="8" numFmtId="4">
    <oc r="AB129">
      <f>-30672-Z129-AA129</f>
    </oc>
    <nc r="AB129">
      <v>-1138</v>
    </nc>
  </rcc>
  <rcc rId="1594" sId="8" numFmtId="4">
    <oc r="AB132">
      <f>31020-AA132</f>
    </oc>
    <nc r="AB132">
      <v>24428</v>
    </nc>
  </rcc>
  <rcc rId="1595" sId="8" numFmtId="4">
    <oc r="AB133">
      <f>439-Z133-AA133</f>
    </oc>
    <nc r="AB133">
      <v>82</v>
    </nc>
  </rcc>
  <rcc rId="1596" sId="8" numFmtId="4">
    <oc r="AB135">
      <f>-10775-Z135-AA135</f>
    </oc>
    <nc r="AB135">
      <v>-3175</v>
    </nc>
  </rcc>
  <rcc rId="1597" sId="8" numFmtId="4">
    <oc r="AB137">
      <f>-2730803-Z137-AA137</f>
    </oc>
    <nc r="AB137">
      <v>-826431</v>
    </nc>
  </rcc>
  <rfmt sheetId="8" sqref="Z139:AB139">
    <dxf>
      <fill>
        <patternFill>
          <bgColor theme="4" tint="0.39997558519241921"/>
        </patternFill>
      </fill>
    </dxf>
  </rfmt>
  <rfmt sheetId="8" sqref="Z140:AB140">
    <dxf>
      <fill>
        <patternFill>
          <bgColor theme="4" tint="0.39997558519241921"/>
        </patternFill>
      </fill>
    </dxf>
  </rfmt>
  <rfmt sheetId="8" sqref="Z141:AB141">
    <dxf>
      <fill>
        <patternFill>
          <bgColor theme="4" tint="0.39997558519241921"/>
        </patternFill>
      </fill>
    </dxf>
  </rfmt>
  <rfmt sheetId="8" sqref="Z142:AB142">
    <dxf>
      <fill>
        <patternFill>
          <bgColor theme="4" tint="0.39997558519241921"/>
        </patternFill>
      </fill>
    </dxf>
  </rfmt>
  <rfmt sheetId="8" sqref="Z143:AB143">
    <dxf>
      <fill>
        <patternFill>
          <bgColor theme="4" tint="0.39997558519241921"/>
        </patternFill>
      </fill>
    </dxf>
  </rfmt>
  <rfmt sheetId="8" sqref="Z146:AB146">
    <dxf>
      <fill>
        <patternFill>
          <bgColor theme="4" tint="0.39997558519241921"/>
        </patternFill>
      </fill>
    </dxf>
  </rfmt>
  <rcc rId="1598" sId="8" odxf="1" dxf="1">
    <oc r="AB146">
      <f>-114419-Z146-AA146</f>
    </oc>
    <nc r="AB146">
      <f>-114419-Z146-AA146</f>
    </nc>
    <odxf>
      <font>
        <sz val="10"/>
        <name val="Arial"/>
        <scheme val="none"/>
      </font>
      <numFmt numFmtId="164" formatCode="#,##0_);[Red]\(#,##0\)"/>
      <fill>
        <patternFill>
          <bgColor theme="4" tint="0.39997558519241921"/>
        </patternFill>
      </fill>
    </odxf>
    <ndxf>
      <font>
        <sz val="10"/>
        <color rgb="FF4B4B4B"/>
        <name val="Arial"/>
        <scheme val="none"/>
      </font>
      <numFmt numFmtId="3" formatCode="#,##0"/>
      <fill>
        <patternFill>
          <bgColor theme="0"/>
        </patternFill>
      </fill>
    </ndxf>
  </rcc>
  <rfmt sheetId="8" sqref="Z148:AB148">
    <dxf>
      <fill>
        <patternFill>
          <bgColor theme="4" tint="0.39997558519241921"/>
        </patternFill>
      </fill>
    </dxf>
  </rfmt>
  <rcc rId="1599" sId="8">
    <oc r="AC148" t="inlineStr">
      <is>
        <t>?</t>
      </is>
    </oc>
    <nc r="AC148"/>
  </rcc>
  <rfmt sheetId="8" sqref="Z139:AB148">
    <dxf>
      <fill>
        <patternFill>
          <bgColor theme="0"/>
        </patternFill>
      </fill>
    </dxf>
  </rfmt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00" sId="8" numFmtId="4">
    <oc r="AB139">
      <f>-10766-Z139-AA139</f>
    </oc>
    <nc r="AB139">
      <v>-2758</v>
    </nc>
  </rcc>
  <rcc rId="1601" sId="8" numFmtId="4">
    <oc r="AB141">
      <f>-66959-Z141-AA141</f>
    </oc>
    <nc r="AB141">
      <v>-22235</v>
    </nc>
  </rcc>
  <rcc rId="1602" sId="8" numFmtId="4">
    <oc r="AB143">
      <f>-2550000-Z143-AA143</f>
    </oc>
    <nc r="AB143">
      <v>-300000</v>
    </nc>
  </rcc>
  <rcc rId="1603" sId="8" numFmtId="4">
    <oc r="AB145">
      <f>-2662-Z145-AA145</f>
    </oc>
    <nc r="AB145">
      <v>-185</v>
    </nc>
  </rcc>
  <rcc rId="1604" sId="8" numFmtId="4">
    <oc r="AB146">
      <f>-114419-Z146-AA146</f>
    </oc>
    <nc r="AB146">
      <v>2920</v>
    </nc>
  </rcc>
  <rcc rId="1605" sId="8" numFmtId="4">
    <oc r="AB147">
      <f>-91-Z147-AA147</f>
    </oc>
    <nc r="AB147">
      <v>-45</v>
    </nc>
  </rcc>
  <rcc rId="1606" sId="8" numFmtId="4">
    <oc r="AB148">
      <f>13172-Z148-AA148</f>
    </oc>
    <nc r="AB148">
      <v>-1965</v>
    </nc>
  </rcc>
  <rcc rId="1607" sId="8" numFmtId="4">
    <oc r="AB149">
      <f>129191-Z149-AA149</f>
    </oc>
    <nc r="AB149">
      <v>-324268</v>
    </nc>
  </rcc>
  <rcc rId="1608" sId="8" numFmtId="4">
    <oc r="AB150">
      <f>-196258-Z150-AA150</f>
    </oc>
    <nc r="AB150">
      <v>-162516</v>
    </nc>
  </rcc>
  <rcc rId="1609" sId="8" numFmtId="4">
    <oc r="AB151">
      <f>2379-Z151-AA151</f>
    </oc>
    <nc r="AB151">
      <v>1500</v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10" sId="8" numFmtId="4">
    <oc r="AB8">
      <f>84477-AA8-Z8</f>
    </oc>
    <nc r="AB8">
      <v>25424</v>
    </nc>
  </rcc>
  <rcc rId="1611" sId="8" numFmtId="4">
    <oc r="AB11">
      <f>-56498-AA11-Z11</f>
    </oc>
    <nc r="AB11">
      <v>-12738</v>
    </nc>
  </rcc>
  <rcc rId="1612" sId="8" numFmtId="4">
    <oc r="AB14">
      <f>-3903-62647</f>
    </oc>
    <nc r="AB14">
      <v>-66550</v>
    </nc>
  </rcc>
  <rcc rId="1613" sId="8" numFmtId="4">
    <oc r="AB23">
      <f>-265+75-Z23-AA23</f>
    </oc>
    <nc r="AB23">
      <v>1198</v>
    </nc>
  </rcc>
  <rcc rId="1614" sId="8" numFmtId="4">
    <oc r="AB25">
      <f>-6667-220</f>
    </oc>
    <nc r="AB25">
      <v>-6887</v>
    </nc>
  </rcc>
  <rcc rId="1615" sId="8" numFmtId="4">
    <oc r="AB90">
      <f>1365012-105449</f>
    </oc>
    <nc r="AB90">
      <v>1259563</v>
    </nc>
  </rcc>
  <rcc rId="1616" sId="8" numFmtId="4">
    <oc r="AB94">
      <f>60027+273940</f>
    </oc>
    <nc r="AB94">
      <v>333967</v>
    </nc>
  </rcc>
  <rfmt sheetId="8" sqref="AB13">
    <dxf>
      <fill>
        <patternFill>
          <bgColor theme="0"/>
        </patternFill>
      </fill>
    </dxf>
  </rfmt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7" sqref="A1:XFD1048576" start="0" length="2147483647">
    <dxf>
      <font>
        <color auto="1"/>
      </font>
    </dxf>
  </rfmt>
  <rfmt sheetId="6" sqref="A1:XFD1048576" start="0" length="2147483647">
    <dxf>
      <font>
        <color auto="1"/>
      </font>
    </dxf>
  </rfmt>
  <rfmt sheetId="5" sqref="A1:XFD1048576" start="0" length="2147483647">
    <dxf>
      <font>
        <color auto="1"/>
      </font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59" sId="5">
    <oc r="B9">
      <v>41</v>
    </oc>
    <nc r="B9">
      <v>40</v>
    </nc>
  </rcc>
  <rcc rId="1160" sId="5">
    <oc r="B11">
      <v>21</v>
    </oc>
    <nc r="B11">
      <v>20</v>
    </nc>
  </rcc>
  <rcc rId="1161" sId="5">
    <oc r="B13">
      <v>14</v>
    </oc>
    <nc r="B13">
      <v>13</v>
    </nc>
  </rcc>
  <rcc rId="1162" sId="5">
    <oc r="A14" t="inlineStr">
      <is>
        <t>Pozostałe koszty finansowe</t>
      </is>
    </oc>
    <nc r="A14" t="inlineStr">
      <is>
        <t>Pozostałe przychody i koszty finansowe</t>
      </is>
    </nc>
  </rcc>
  <rrc rId="1163" sId="5" ref="A12:XFD12" action="deleteRow">
    <rfmt sheetId="5" xfDxf="1" sqref="A12:XFD12" start="0" length="0">
      <dxf>
        <fill>
          <patternFill patternType="solid">
            <bgColor theme="0"/>
          </patternFill>
        </fill>
      </dxf>
    </rfmt>
    <rcc rId="0" sId="5" dxf="1">
      <nc r="A12" t="inlineStr">
        <is>
          <t>Przychody finansowe</t>
        </is>
      </nc>
      <ndxf>
        <font>
          <sz val="10"/>
          <color rgb="FF4B4B4B"/>
          <name val="Arial"/>
          <scheme val="none"/>
        </font>
        <alignment horizontal="left" vertical="top" indent="1" readingOrder="0"/>
      </ndxf>
    </rcc>
    <rcc rId="0" sId="5" dxf="1">
      <nc r="B12">
        <v>13</v>
      </nc>
      <ndxf>
        <font>
          <sz val="10"/>
          <color theme="1" tint="0.34998626667073579"/>
          <name val="Arial"/>
          <scheme val="none"/>
        </font>
        <alignment horizontal="center" vertical="top" readingOrder="0"/>
      </ndxf>
    </rcc>
    <rcc rId="0" sId="5" dxf="1" numFmtId="34">
      <nc r="C12">
        <v>55939</v>
      </nc>
      <ndxf>
        <font>
          <b/>
          <sz val="10"/>
          <color theme="1" tint="0.34998626667073579"/>
          <name val="Arial"/>
          <scheme val="none"/>
        </font>
        <numFmt numFmtId="167" formatCode="_-* #,##0&quot;   &quot;;[Black]\(#,##0\)&quot;  &quot;;&quot;-   &quot;"/>
        <alignment horizontal="right" vertical="center" readingOrder="0"/>
        <protection locked="0"/>
      </ndxf>
    </rcc>
    <rcc rId="0" sId="5" dxf="1" numFmtId="34">
      <nc r="D12">
        <v>41418</v>
      </nc>
      <ndxf>
        <font>
          <b/>
          <sz val="10"/>
          <color theme="1" tint="0.34998626667073579"/>
          <name val="Arial"/>
          <scheme val="none"/>
        </font>
        <numFmt numFmtId="167" formatCode="_-* #,##0&quot;   &quot;;[Black]\(#,##0\)&quot;  &quot;;&quot;-   &quot;"/>
        <alignment horizontal="right" vertical="center" readingOrder="0"/>
        <protection locked="0"/>
      </ndxf>
    </rcc>
  </rrc>
  <rcc rId="1164" sId="5">
    <oc r="B13">
      <v>14</v>
    </oc>
    <nc r="B13">
      <v>13</v>
    </nc>
  </rcc>
  <rcc rId="1165" sId="5">
    <oc r="B15">
      <v>15</v>
    </oc>
    <nc r="B15">
      <v>14</v>
    </nc>
  </rcc>
  <rcc rId="1166" sId="5">
    <oc r="B20">
      <v>15</v>
    </oc>
    <nc r="B20">
      <v>14</v>
    </nc>
  </rcc>
  <rcc rId="1167" sId="5">
    <oc r="B24">
      <v>15</v>
    </oc>
    <nc r="B24">
      <v>14</v>
    </nc>
  </rcc>
  <rcc rId="1168" sId="5" numFmtId="34">
    <oc r="C4">
      <v>8942857</v>
    </oc>
    <nc r="C4">
      <v>13123745</v>
    </nc>
  </rcc>
  <rcc rId="1169" sId="5" numFmtId="34">
    <oc r="C5">
      <v>-8286129</v>
    </oc>
    <nc r="C5">
      <v>-11823168</v>
    </nc>
  </rcc>
  <rcc rId="1170" sId="5" numFmtId="34">
    <oc r="C6">
      <v>656728</v>
    </oc>
    <nc r="C6">
      <v>1300577</v>
    </nc>
  </rcc>
  <rcc rId="1171" sId="5" numFmtId="34">
    <oc r="C7">
      <v>-220397</v>
    </oc>
    <nc r="C7">
      <v>-332826</v>
    </nc>
  </rcc>
  <rcc rId="1172" sId="5" numFmtId="34">
    <oc r="C8">
      <v>-317979</v>
    </oc>
    <nc r="C8">
      <v>-472789</v>
    </nc>
  </rcc>
  <rcc rId="1173" sId="5" numFmtId="34">
    <oc r="C9">
      <v>15293</v>
    </oc>
    <nc r="C9">
      <v>27979</v>
    </nc>
  </rcc>
  <rcc rId="1174" sId="5" numFmtId="34">
    <oc r="C10">
      <v>133645</v>
    </oc>
    <nc r="C10">
      <v>522941</v>
    </nc>
  </rcc>
  <rcc rId="1175" sId="5" numFmtId="34">
    <oc r="C11">
      <v>59861</v>
    </oc>
    <nc r="C11">
      <v>78338</v>
    </nc>
  </rcc>
  <rcc rId="1176" sId="5" numFmtId="34">
    <oc r="C12">
      <v>-137959</v>
    </oc>
    <nc r="C12">
      <v>-200606</v>
    </nc>
  </rcc>
  <rcc rId="1177" sId="5" numFmtId="34">
    <oc r="C13">
      <v>-78811</v>
    </oc>
    <nc r="C13">
      <v>-31129</v>
    </nc>
  </rcc>
  <rcc rId="1178" sId="5" numFmtId="34">
    <oc r="C14">
      <v>32675</v>
    </oc>
    <nc r="C14">
      <v>369544</v>
    </nc>
  </rcc>
  <rcc rId="1179" sId="5" numFmtId="34">
    <oc r="C15">
      <v>-27958</v>
    </oc>
    <nc r="C15">
      <v>-93412</v>
    </nc>
  </rcc>
  <rcc rId="1180" sId="5" numFmtId="34">
    <oc r="C16">
      <v>4717</v>
    </oc>
    <nc r="C16">
      <v>276132</v>
    </nc>
  </rcc>
  <rcc rId="1181" sId="5" numFmtId="34">
    <oc r="C18">
      <v>48846</v>
    </oc>
    <nc r="C18">
      <v>83938</v>
    </nc>
  </rcc>
  <rcc rId="1182" sId="5" numFmtId="34">
    <oc r="C19">
      <v>9922</v>
    </oc>
    <nc r="C19">
      <v>2543</v>
    </nc>
  </rcc>
  <rcc rId="1183" sId="5" numFmtId="34">
    <oc r="C20">
      <v>-9281</v>
    </oc>
    <nc r="C20">
      <v>-15948</v>
    </nc>
  </rcc>
  <rcc rId="1184" sId="5" numFmtId="34">
    <oc r="C21">
      <v>49487</v>
    </oc>
    <nc r="C21">
      <v>70533</v>
    </nc>
  </rcc>
  <rcc rId="1185" sId="5" numFmtId="34">
    <oc r="C23">
      <v>-1429</v>
    </oc>
    <nc r="C23">
      <v>-265</v>
    </nc>
  </rcc>
  <rcc rId="1186" sId="5" numFmtId="34">
    <oc r="C24">
      <v>270</v>
    </oc>
    <nc r="C24">
      <v>50</v>
    </nc>
  </rcc>
  <rcc rId="1187" sId="5" numFmtId="34">
    <oc r="C25">
      <v>41</v>
    </oc>
    <nc r="C25">
      <v>75</v>
    </nc>
  </rcc>
  <rcc rId="1188" sId="5" numFmtId="34">
    <oc r="C26">
      <v>-1118</v>
    </oc>
    <nc r="C26">
      <v>-140</v>
    </nc>
  </rcc>
  <rcc rId="1189" sId="5" numFmtId="34">
    <oc r="C28">
      <v>48369</v>
    </oc>
    <nc r="C28">
      <v>70393</v>
    </nc>
  </rcc>
  <rcc rId="1190" sId="5" numFmtId="34">
    <oc r="C29">
      <v>53086</v>
    </oc>
    <nc r="C29">
      <v>346525</v>
    </nc>
  </rcc>
  <rfmt sheetId="5" sqref="C32" start="0" length="0">
    <dxf>
      <numFmt numFmtId="164" formatCode="#,##0_);[Red]\(#,##0\)"/>
      <alignment horizontal="general" vertical="bottom" readingOrder="0"/>
      <protection locked="1"/>
    </dxf>
  </rfmt>
  <rfmt sheetId="5" sqref="C33" start="0" length="0">
    <dxf>
      <alignment vertical="bottom" readingOrder="0"/>
    </dxf>
  </rfmt>
  <rfmt sheetId="5" sqref="C35" start="0" length="0">
    <dxf>
      <numFmt numFmtId="164" formatCode="#,##0_);[Red]\(#,##0\)"/>
      <alignment horizontal="general" vertical="bottom" readingOrder="0"/>
      <protection locked="1"/>
    </dxf>
  </rfmt>
  <rcc rId="1191" sId="5" odxf="1" dxf="1">
    <oc r="C36">
      <v>1282</v>
    </oc>
    <nc r="C36"/>
    <ndxf>
      <alignment vertical="bottom" readingOrder="0"/>
    </ndxf>
  </rcc>
  <rfmt sheetId="5" sqref="C38" start="0" length="0">
    <dxf>
      <numFmt numFmtId="170" formatCode="_-* #,##0.00&quot;   &quot;;[Red]\(#,##0.00\)&quot;  &quot;;&quot;-   &quot;"/>
    </dxf>
  </rfmt>
  <rm rId="1192" sheetId="5" source="C31:C35" destination="C32:C36" sourceSheetId="5">
    <rfmt sheetId="5" sqref="C36" start="0" length="0">
      <dxf>
        <font>
          <sz val="10"/>
          <color theme="1" tint="0.34998626667073579"/>
          <name val="Arial"/>
          <scheme val="none"/>
        </font>
        <numFmt numFmtId="164" formatCode="#,##0_);[Red]\(#,##0\)"/>
        <fill>
          <patternFill patternType="solid">
            <bgColor theme="0"/>
          </patternFill>
        </fill>
      </dxf>
    </rfmt>
  </rm>
  <rcc rId="1193" sId="5" odxf="1" dxf="1" numFmtId="4">
    <nc r="C32">
      <v>274283</v>
    </nc>
    <ndxf>
      <font>
        <b/>
        <sz val="10"/>
        <color theme="1" tint="0.34998626667073579"/>
        <name val="Arial"/>
        <scheme val="none"/>
      </font>
    </ndxf>
  </rcc>
  <rcc rId="1194" sId="5" odxf="1" dxf="1" numFmtId="4">
    <oc r="C33">
      <v>3435</v>
    </oc>
    <nc r="C33">
      <v>1849</v>
    </nc>
    <ndxf>
      <font>
        <b val="0"/>
        <sz val="10"/>
        <color theme="1" tint="0.34998626667073579"/>
        <name val="Arial"/>
        <scheme val="none"/>
      </font>
    </ndxf>
  </rcc>
  <rcc rId="1195" sId="5">
    <oc r="C34">
      <v>1282</v>
    </oc>
    <nc r="C34"/>
  </rcc>
  <rcc rId="1196" sId="5" odxf="1" dxf="1" numFmtId="4">
    <nc r="C35">
      <v>344676</v>
    </nc>
    <ndxf>
      <font>
        <b/>
        <sz val="10"/>
        <color theme="1" tint="0.34998626667073579"/>
        <name val="Arial"/>
        <scheme val="none"/>
      </font>
    </ndxf>
  </rcc>
  <rcc rId="1197" sId="5" odxf="1" dxf="1" numFmtId="4">
    <oc r="C36">
      <v>51804</v>
    </oc>
    <nc r="C36">
      <v>1849</v>
    </nc>
    <ndxf>
      <font>
        <b val="0"/>
        <sz val="10"/>
        <color theme="1" tint="0.34998626667073579"/>
        <name val="Arial"/>
        <scheme val="none"/>
      </font>
    </ndxf>
  </rcc>
  <rcc rId="1198" sId="5" numFmtId="34">
    <oc r="C38">
      <v>0</v>
    </oc>
    <nc r="C38">
      <v>0.16</v>
    </nc>
  </rcc>
  <rcc rId="1199" sId="5" numFmtId="34">
    <oc r="D4">
      <v>9256614</v>
    </oc>
    <nc r="D4">
      <v>13634241</v>
    </nc>
  </rcc>
  <rcc rId="1200" sId="5" numFmtId="34">
    <oc r="D5">
      <v>-7612275</v>
    </oc>
    <nc r="D5">
      <v>-11247977</v>
    </nc>
  </rcc>
  <rcc rId="1201" sId="5" numFmtId="34">
    <oc r="D6">
      <v>1644339</v>
    </oc>
    <nc r="D6">
      <v>2386264</v>
    </nc>
  </rcc>
  <rcc rId="1202" sId="5" numFmtId="34">
    <oc r="D7">
      <v>-237832</v>
    </oc>
    <nc r="D7">
      <v>-359945</v>
    </nc>
  </rcc>
  <rcc rId="1203" sId="5" numFmtId="34">
    <oc r="D8">
      <v>-312824</v>
    </oc>
    <nc r="D8">
      <v>-466493</v>
    </nc>
  </rcc>
  <rcc rId="1204" sId="5" numFmtId="34">
    <oc r="D9">
      <v>-49381</v>
    </oc>
    <nc r="D9">
      <v>-27566</v>
    </nc>
  </rcc>
  <rcc rId="1205" sId="5" numFmtId="34">
    <oc r="D10">
      <v>1044302</v>
    </oc>
    <nc r="D10">
      <v>1532260</v>
    </nc>
  </rcc>
  <rcc rId="1206" sId="5" numFmtId="34">
    <oc r="D11">
      <v>4870</v>
    </oc>
    <nc r="D11">
      <v>310</v>
    </nc>
  </rcc>
  <rcc rId="1207" sId="5" numFmtId="34">
    <oc r="D12">
      <v>-144216</v>
    </oc>
    <nc r="D12">
      <v>-219275</v>
    </nc>
  </rcc>
  <rcc rId="1208" sId="5" numFmtId="34">
    <oc r="D13">
      <v>-87571</v>
    </oc>
    <nc r="D13">
      <v>384</v>
    </nc>
  </rcc>
  <rcc rId="1209" sId="5" numFmtId="34">
    <oc r="D14">
      <v>858803</v>
    </oc>
    <nc r="D14">
      <v>1313679</v>
    </nc>
  </rcc>
  <rcc rId="1210" sId="5" numFmtId="34">
    <oc r="D15">
      <v>-138416</v>
    </oc>
    <nc r="D15">
      <v>-234524</v>
    </nc>
  </rcc>
  <rcc rId="1211" sId="5" numFmtId="34">
    <oc r="D16">
      <v>720387</v>
    </oc>
    <nc r="D16">
      <v>1079155</v>
    </nc>
  </rcc>
  <rcc rId="1212" sId="5" numFmtId="34">
    <oc r="D18">
      <v>48628</v>
    </oc>
    <nc r="D18">
      <v>62054</v>
    </nc>
  </rcc>
  <rcc rId="1213" sId="5" numFmtId="34">
    <oc r="D19">
      <v>28</v>
    </oc>
    <nc r="D19">
      <v>287</v>
    </nc>
  </rcc>
  <rcc rId="1214" sId="5" numFmtId="34">
    <oc r="D20">
      <v>-9239</v>
    </oc>
    <nc r="D20">
      <v>-11790</v>
    </nc>
  </rcc>
  <rcc rId="1215" sId="5" numFmtId="34">
    <oc r="D21">
      <v>39417</v>
    </oc>
    <nc r="D21">
      <v>50551</v>
    </nc>
  </rcc>
  <rcc rId="1216" sId="5" numFmtId="34">
    <oc r="D23">
      <v>1123</v>
    </oc>
    <nc r="D23">
      <v>1729</v>
    </nc>
  </rcc>
  <rcc rId="1217" sId="5" numFmtId="34">
    <oc r="D24">
      <v>-216</v>
    </oc>
    <nc r="D24">
      <v>-327</v>
    </nc>
  </rcc>
  <rcc rId="1218" sId="5" numFmtId="34">
    <oc r="D26">
      <v>907</v>
    </oc>
    <nc r="D26">
      <v>1402</v>
    </nc>
  </rcc>
  <rcc rId="1219" sId="5" numFmtId="34">
    <oc r="D28">
      <v>40324</v>
    </oc>
    <nc r="D28">
      <v>51953</v>
    </nc>
  </rcc>
  <rcc rId="1220" sId="5" numFmtId="34">
    <oc r="D29">
      <v>760711</v>
    </oc>
    <nc r="D29">
      <v>1131108</v>
    </nc>
  </rcc>
  <rfmt sheetId="5" sqref="D31" start="0" length="0">
    <dxf>
      <font>
        <sz val="11"/>
        <color theme="1"/>
        <name val="Calibri"/>
        <scheme val="minor"/>
      </font>
      <numFmt numFmtId="0" formatCode="General"/>
    </dxf>
  </rfmt>
  <rcc rId="1221" sId="5" numFmtId="4">
    <oc r="D32">
      <v>718524</v>
    </oc>
    <nc r="D32">
      <v>1076641</v>
    </nc>
  </rcc>
  <rcc rId="1222" sId="5" numFmtId="4">
    <oc r="D33">
      <v>1863</v>
    </oc>
    <nc r="D33">
      <v>2514</v>
    </nc>
  </rcc>
  <rcc rId="1223" sId="5" numFmtId="4">
    <oc r="D35">
      <v>758846</v>
    </oc>
    <nc r="D35">
      <v>1128581</v>
    </nc>
  </rcc>
  <rcc rId="1224" sId="5" numFmtId="4">
    <oc r="D36">
      <v>1865</v>
    </oc>
    <nc r="D36">
      <v>2527</v>
    </nc>
  </rcc>
  <rcc rId="1225" sId="5" numFmtId="34">
    <oc r="D38">
      <v>0.41</v>
    </oc>
    <nc r="D38">
      <v>0.61</v>
    </nc>
  </rcc>
  <rcv guid="{AAA495E0-27FD-4941-85B8-9038B6AD4FA3}" action="delete"/>
  <rcv guid="{AAA495E0-27FD-4941-85B8-9038B6AD4FA3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8" sqref="A1:XFD1048576" start="0" length="2147483647">
    <dxf>
      <font>
        <color auto="1"/>
      </font>
    </dxf>
  </rfmt>
  <rfmt sheetId="9" sqref="A1:XFD1048576" start="0" length="2147483647">
    <dxf>
      <font>
        <color auto="1"/>
      </font>
    </dxf>
  </rfmt>
  <rfmt sheetId="10" sqref="A1:XFD1048576" start="0" length="2147483647">
    <dxf>
      <font>
        <color auto="1"/>
      </font>
    </dxf>
  </rfmt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7" sqref="B1:B1048576" start="0" length="2147483647">
    <dxf>
      <font>
        <b/>
      </font>
    </dxf>
  </rfmt>
  <rfmt sheetId="7" sqref="B1:B1048576" start="0" length="2147483647">
    <dxf>
      <font>
        <b val="0"/>
      </font>
    </dxf>
  </rfmt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8" sqref="Z11">
    <dxf>
      <fill>
        <patternFill patternType="solid">
          <bgColor theme="0"/>
        </patternFill>
      </fill>
    </dxf>
  </rfmt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17" sId="4">
    <oc r="C4">
      <f>'C:\Users\iwiechecka\Documents\SKONSOLIDOWANE GRUPA\RAPORT IIQ 2016\[Tabele_giełda_Q2_2016_20160811.xlsx]Q2_2016'!$C$192</f>
    </oc>
    <nc r="C4">
      <f>'C:\Users\iwiechecka\Documents\SKONSOLIDOWANE GRUPA\RAPORT IIQ 2016\[Tabele_giełda_Q2_2016_20160811.xlsx]Q2_2016'!$C$192</f>
    </nc>
  </rcc>
  <rcc rId="1618" sId="4">
    <oc r="D4">
      <f>'C:\Users\iwiechecka\Documents\SKONSOLIDOWANE GRUPA\RAPORT IIQ 2016\[Tabele_giełda_Q2_2016_20160811.xlsx]Q2_2016'!$D$192</f>
    </oc>
    <nc r="D4">
      <f>'C:\Users\iwiechecka\Documents\SKONSOLIDOWANE GRUPA\RAPORT IIQ 2016\[Tabele_giełda_Q2_2016_20160811.xlsx]Q2_2016'!$D$192</f>
    </nc>
  </rcc>
  <rcc rId="1619" sId="4">
    <oc r="F4">
      <f>'C:\Users\iwiechecka\Documents\SKONSOLIDOWANE GRUPA\RAPORT IIQ 2016\[Tabele_giełda_Q2_2016_20160811.xlsx]Q2_2016'!$I$192</f>
    </oc>
    <nc r="F4">
      <f>'C:\Users\iwiechecka\Documents\SKONSOLIDOWANE GRUPA\RAPORT IIQ 2016\[Tabele_giełda_Q2_2016_20160811.xlsx]Q2_2016'!$I$192</f>
    </nc>
  </rcc>
  <rcc rId="1620" sId="4">
    <oc r="G4">
      <f>'C:\Users\iwiechecka\Documents\SKONSOLIDOWANE GRUPA\RAPORT IIQ 2016\[Tabele_giełda_Q2_2016_20160811.xlsx]Q2_2016'!$J$192</f>
    </oc>
    <nc r="G4">
      <f>'C:\Users\iwiechecka\Documents\SKONSOLIDOWANE GRUPA\RAPORT IIQ 2016\[Tabele_giełda_Q2_2016_20160811.xlsx]Q2_2016'!$J$192</f>
    </nc>
  </rcc>
  <rcc rId="1621" sId="4">
    <oc r="C5">
      <f>'C:\Users\iwiechecka\Documents\SKONSOLIDOWANE GRUPA\RAPORT IIQ 2016\[Tabele_giełda_Q2_2016_20160811.xlsx]Q2_2016'!$C$198</f>
    </oc>
    <nc r="C5">
      <f>'C:\Users\iwiechecka\Documents\SKONSOLIDOWANE GRUPA\RAPORT IIQ 2016\[Tabele_giełda_Q2_2016_20160811.xlsx]Q2_2016'!$C$198</f>
    </nc>
  </rcc>
  <rcc rId="1622" sId="4">
    <oc r="D5">
      <f>'C:\Users\iwiechecka\Documents\SKONSOLIDOWANE GRUPA\RAPORT IIQ 2016\[Tabele_giełda_Q2_2016_20160811.xlsx]Q2_2016'!$D$198</f>
    </oc>
    <nc r="D5">
      <f>'C:\Users\iwiechecka\Documents\SKONSOLIDOWANE GRUPA\RAPORT IIQ 2016\[Tabele_giełda_Q2_2016_20160811.xlsx]Q2_2016'!$D$198</f>
    </nc>
  </rcc>
  <rcc rId="1623" sId="4">
    <oc r="F5">
      <f>'C:\Users\iwiechecka\Documents\SKONSOLIDOWANE GRUPA\RAPORT IIQ 2016\[Tabele_giełda_Q2_2016_20160811.xlsx]Q2_2016'!$I$198</f>
    </oc>
    <nc r="F5">
      <f>'C:\Users\iwiechecka\Documents\SKONSOLIDOWANE GRUPA\RAPORT IIQ 2016\[Tabele_giełda_Q2_2016_20160811.xlsx]Q2_2016'!$I$198</f>
    </nc>
  </rcc>
  <rcc rId="1624" sId="4">
    <oc r="G5">
      <f>'C:\Users\iwiechecka\Documents\SKONSOLIDOWANE GRUPA\RAPORT IIQ 2016\[Tabele_giełda_Q2_2016_20160811.xlsx]Q2_2016'!$J$198</f>
    </oc>
    <nc r="G5">
      <f>'C:\Users\iwiechecka\Documents\SKONSOLIDOWANE GRUPA\RAPORT IIQ 2016\[Tabele_giełda_Q2_2016_20160811.xlsx]Q2_2016'!$J$198</f>
    </nc>
  </rcc>
  <rcc rId="1625" sId="4">
    <oc r="C6">
      <f>'C:\Users\iwiechecka\Documents\SKONSOLIDOWANE GRUPA\RAPORT IIQ 2016\[Tabele_giełda_Q2_2016_20160811.xlsx]Q2_2016'!$C$204</f>
    </oc>
    <nc r="C6">
      <f>'C:\Users\iwiechecka\Documents\SKONSOLIDOWANE GRUPA\RAPORT IIQ 2016\[Tabele_giełda_Q2_2016_20160811.xlsx]Q2_2016'!$C$204</f>
    </nc>
  </rcc>
  <rcc rId="1626" sId="4">
    <oc r="D6">
      <f>'C:\Users\iwiechecka\Documents\SKONSOLIDOWANE GRUPA\RAPORT IIQ 2016\[Tabele_giełda_Q2_2016_20160811.xlsx]Q2_2016'!$D$204</f>
    </oc>
    <nc r="D6">
      <f>'C:\Users\iwiechecka\Documents\SKONSOLIDOWANE GRUPA\RAPORT IIQ 2016\[Tabele_giełda_Q2_2016_20160811.xlsx]Q2_2016'!$D$204</f>
    </nc>
  </rcc>
  <rcc rId="1627" sId="4">
    <oc r="F6">
      <f>'C:\Users\iwiechecka\Documents\SKONSOLIDOWANE GRUPA\RAPORT IIQ 2016\[Tabele_giełda_Q2_2016_20160811.xlsx]Q2_2016'!$I$204</f>
    </oc>
    <nc r="F6">
      <f>'C:\Users\iwiechecka\Documents\SKONSOLIDOWANE GRUPA\RAPORT IIQ 2016\[Tabele_giełda_Q2_2016_20160811.xlsx]Q2_2016'!$I$204</f>
    </nc>
  </rcc>
  <rcc rId="1628" sId="4">
    <oc r="G6">
      <f>'C:\Users\iwiechecka\Documents\SKONSOLIDOWANE GRUPA\RAPORT IIQ 2016\[Tabele_giełda_Q2_2016_20160811.xlsx]Q2_2016'!$J$204</f>
    </oc>
    <nc r="G6">
      <f>'C:\Users\iwiechecka\Documents\SKONSOLIDOWANE GRUPA\RAPORT IIQ 2016\[Tabele_giełda_Q2_2016_20160811.xlsx]Q2_2016'!$J$204</f>
    </nc>
  </rcc>
  <rcc rId="1629" sId="4">
    <oc r="C7">
      <f>'C:\Users\iwiechecka\Documents\SKONSOLIDOWANE GRUPA\RAPORT IIQ 2016\[Tabele_giełda_Q2_2016_20160811.xlsx]Q2_2016'!$C$210</f>
    </oc>
    <nc r="C7">
      <f>'C:\Users\iwiechecka\Documents\SKONSOLIDOWANE GRUPA\RAPORT IIQ 2016\[Tabele_giełda_Q2_2016_20160811.xlsx]Q2_2016'!$C$210</f>
    </nc>
  </rcc>
  <rcc rId="1630" sId="4">
    <oc r="D7">
      <f>'C:\Users\iwiechecka\Documents\SKONSOLIDOWANE GRUPA\RAPORT IIQ 2016\[Tabele_giełda_Q2_2016_20160811.xlsx]Q2_2016'!$D$210</f>
    </oc>
    <nc r="D7">
      <f>'C:\Users\iwiechecka\Documents\SKONSOLIDOWANE GRUPA\RAPORT IIQ 2016\[Tabele_giełda_Q2_2016_20160811.xlsx]Q2_2016'!$D$210</f>
    </nc>
  </rcc>
  <rcc rId="1631" sId="4">
    <oc r="F7">
      <f>'C:\Users\iwiechecka\Documents\SKONSOLIDOWANE GRUPA\RAPORT IIQ 2016\[Tabele_giełda_Q2_2016_20160811.xlsx]Q2_2016'!$I$210</f>
    </oc>
    <nc r="F7">
      <f>'C:\Users\iwiechecka\Documents\SKONSOLIDOWANE GRUPA\RAPORT IIQ 2016\[Tabele_giełda_Q2_2016_20160811.xlsx]Q2_2016'!$I$210</f>
    </nc>
  </rcc>
  <rcc rId="1632" sId="4">
    <oc r="G7">
      <f>'C:\Users\iwiechecka\Documents\SKONSOLIDOWANE GRUPA\RAPORT IIQ 2016\[Tabele_giełda_Q2_2016_20160811.xlsx]Q2_2016'!$J$210</f>
    </oc>
    <nc r="G7">
      <f>'C:\Users\iwiechecka\Documents\SKONSOLIDOWANE GRUPA\RAPORT IIQ 2016\[Tabele_giełda_Q2_2016_20160811.xlsx]Q2_2016'!$J$210</f>
    </nc>
  </rcc>
  <rcc rId="1633" sId="4">
    <oc r="C8">
      <f>'C:\Users\iwiechecka\Documents\SKONSOLIDOWANE GRUPA\RAPORT IIQ 2016\[Tabele_giełda_Q2_2016_20160811.xlsx]Q2_2016'!$C$216</f>
    </oc>
    <nc r="C8">
      <f>'C:\Users\iwiechecka\Documents\SKONSOLIDOWANE GRUPA\RAPORT IIQ 2016\[Tabele_giełda_Q2_2016_20160811.xlsx]Q2_2016'!$C$216</f>
    </nc>
  </rcc>
  <rcc rId="1634" sId="4">
    <oc r="D8">
      <f>'C:\Users\iwiechecka\Documents\SKONSOLIDOWANE GRUPA\RAPORT IIQ 2016\[Tabele_giełda_Q2_2016_20160811.xlsx]Q2_2016'!$D$216</f>
    </oc>
    <nc r="D8">
      <f>'C:\Users\iwiechecka\Documents\SKONSOLIDOWANE GRUPA\RAPORT IIQ 2016\[Tabele_giełda_Q2_2016_20160811.xlsx]Q2_2016'!$D$216</f>
    </nc>
  </rcc>
  <rcc rId="1635" sId="4">
    <oc r="F8">
      <f>'C:\Users\iwiechecka\Documents\SKONSOLIDOWANE GRUPA\RAPORT IIQ 2016\[Tabele_giełda_Q2_2016_20160811.xlsx]Q2_2016'!$I$216</f>
    </oc>
    <nc r="F8">
      <f>'C:\Users\iwiechecka\Documents\SKONSOLIDOWANE GRUPA\RAPORT IIQ 2016\[Tabele_giełda_Q2_2016_20160811.xlsx]Q2_2016'!$I$216</f>
    </nc>
  </rcc>
  <rcc rId="1636" sId="4">
    <oc r="G8">
      <f>'C:\Users\iwiechecka\Documents\SKONSOLIDOWANE GRUPA\RAPORT IIQ 2016\[Tabele_giełda_Q2_2016_20160811.xlsx]Q2_2016'!$J$216</f>
    </oc>
    <nc r="G8">
      <f>'C:\Users\iwiechecka\Documents\SKONSOLIDOWANE GRUPA\RAPORT IIQ 2016\[Tabele_giełda_Q2_2016_20160811.xlsx]Q2_2016'!$J$216</f>
    </nc>
  </rcc>
  <rrc rId="1637" sId="1" ref="C1:G1048576" action="insertCol"/>
  <rfmt sheetId="1" sqref="E1" start="0" length="0">
    <dxf>
      <font>
        <sz val="10"/>
        <color rgb="FF4B4B4B"/>
        <name val="Arial"/>
        <scheme val="none"/>
      </font>
      <alignment horizontal="center" wrapText="1" readingOrder="0"/>
    </dxf>
  </rfmt>
  <rfmt sheetId="1" sqref="D2" start="0" length="0">
    <dxf>
      <font>
        <b/>
        <sz val="10"/>
        <color rgb="FF4B4B4B"/>
        <name val="Arial"/>
        <scheme val="none"/>
      </font>
      <border outline="0">
        <top style="thin">
          <color rgb="FFE2007A"/>
        </top>
      </border>
    </dxf>
  </rfmt>
  <rfmt sheetId="1" s="1" sqref="E2" start="0" length="0">
    <dxf>
      <numFmt numFmtId="3" formatCode="#,##0"/>
      <alignment horizontal="general" vertical="bottom" wrapText="0" readingOrder="0"/>
    </dxf>
  </rfmt>
  <rfmt sheetId="1" sqref="F2" start="0" length="0">
    <dxf>
      <border outline="0">
        <top style="thin">
          <color rgb="FFE2007A"/>
        </top>
      </border>
    </dxf>
  </rfmt>
  <rfmt sheetId="1" sqref="H2" start="0" length="0">
    <dxf>
      <font>
        <b/>
        <sz val="10"/>
        <color rgb="FF4B4B4B"/>
        <name val="Arial"/>
        <scheme val="none"/>
      </font>
      <border outline="0">
        <top style="thin">
          <color rgb="FFE2007A"/>
        </top>
      </border>
    </dxf>
  </rfmt>
  <rfmt sheetId="1" s="1" sqref="D3" start="0" length="0">
    <dxf>
      <font>
        <b/>
        <sz val="10"/>
        <color rgb="FF4B4B4B"/>
        <name val="Arial"/>
        <scheme val="none"/>
      </font>
      <numFmt numFmtId="3" formatCode="#,##0"/>
      <alignment horizontal="general" vertical="bottom" readingOrder="0"/>
      <border outline="0">
        <top style="thin">
          <color rgb="FF949494"/>
        </top>
      </border>
    </dxf>
  </rfmt>
  <rfmt sheetId="1" sqref="E3" start="0" length="0">
    <dxf>
      <numFmt numFmtId="3" formatCode="#,##0"/>
      <alignment horizontal="general" vertical="bottom" readingOrder="0"/>
    </dxf>
  </rfmt>
  <rfmt sheetId="1" s="1" sqref="F3" start="0" length="0">
    <dxf>
      <numFmt numFmtId="3" formatCode="#,##0"/>
      <alignment horizontal="general" vertical="bottom" readingOrder="0"/>
      <border outline="0">
        <top style="thin">
          <color rgb="FF949494"/>
        </top>
      </border>
    </dxf>
  </rfmt>
  <rfmt sheetId="1" s="1" sqref="H3" start="0" length="0">
    <dxf>
      <font>
        <b/>
        <sz val="10"/>
        <color rgb="FF4B4B4B"/>
        <name val="Arial"/>
        <scheme val="none"/>
      </font>
      <numFmt numFmtId="3" formatCode="#,##0"/>
      <alignment horizontal="general" vertical="bottom" readingOrder="0"/>
      <border outline="0">
        <top style="thin">
          <color rgb="FF949494"/>
        </top>
      </border>
    </dxf>
  </rfmt>
  <rfmt sheetId="1" sqref="D4" start="0" length="0">
    <dxf>
      <font>
        <b/>
        <sz val="10"/>
        <color rgb="FF4B4B4B"/>
        <name val="Arial"/>
        <scheme val="none"/>
      </font>
      <numFmt numFmtId="3" formatCode="#,##0"/>
      <alignment horizontal="general" vertical="bottom" readingOrder="0"/>
    </dxf>
  </rfmt>
  <rfmt sheetId="1" sqref="E4" start="0" length="0">
    <dxf>
      <numFmt numFmtId="3" formatCode="#,##0"/>
      <alignment horizontal="general" vertical="bottom" readingOrder="0"/>
    </dxf>
  </rfmt>
  <rfmt sheetId="1" sqref="F4" start="0" length="0">
    <dxf>
      <numFmt numFmtId="3" formatCode="#,##0"/>
      <alignment horizontal="general" vertical="bottom" readingOrder="0"/>
    </dxf>
  </rfmt>
  <rfmt sheetId="1" sqref="H4" start="0" length="0">
    <dxf>
      <font>
        <b/>
        <sz val="10"/>
        <color rgb="FF4B4B4B"/>
        <name val="Arial"/>
        <scheme val="none"/>
      </font>
      <numFmt numFmtId="3" formatCode="#,##0"/>
      <alignment horizontal="general" vertical="bottom" readingOrder="0"/>
    </dxf>
  </rfmt>
  <rfmt sheetId="1" sqref="D5" start="0" length="0">
    <dxf>
      <font>
        <b/>
        <sz val="10"/>
        <color rgb="FF4B4B4B"/>
        <name val="Arial"/>
        <scheme val="none"/>
      </font>
      <numFmt numFmtId="3" formatCode="#,##0"/>
      <alignment horizontal="general" vertical="bottom" readingOrder="0"/>
    </dxf>
  </rfmt>
  <rfmt sheetId="1" sqref="E5" start="0" length="0">
    <dxf>
      <numFmt numFmtId="3" formatCode="#,##0"/>
      <alignment horizontal="general" vertical="bottom" readingOrder="0"/>
    </dxf>
  </rfmt>
  <rfmt sheetId="1" sqref="F5" start="0" length="0">
    <dxf>
      <numFmt numFmtId="3" formatCode="#,##0"/>
      <alignment horizontal="general" vertical="bottom" readingOrder="0"/>
    </dxf>
  </rfmt>
  <rfmt sheetId="1" sqref="H5" start="0" length="0">
    <dxf>
      <font>
        <b/>
        <sz val="10"/>
        <color rgb="FF4B4B4B"/>
        <name val="Arial"/>
        <scheme val="none"/>
      </font>
      <numFmt numFmtId="3" formatCode="#,##0"/>
      <alignment horizontal="general" vertical="bottom" readingOrder="0"/>
    </dxf>
  </rfmt>
  <rfmt sheetId="1" sqref="D6" start="0" length="0">
    <dxf>
      <font>
        <b/>
        <sz val="10"/>
        <color rgb="FF4B4B4B"/>
        <name val="Arial"/>
        <scheme val="none"/>
      </font>
      <numFmt numFmtId="3" formatCode="#,##0"/>
      <alignment horizontal="general" vertical="bottom" readingOrder="0"/>
    </dxf>
  </rfmt>
  <rfmt sheetId="1" sqref="E6" start="0" length="0">
    <dxf>
      <numFmt numFmtId="3" formatCode="#,##0"/>
      <alignment horizontal="general" vertical="bottom" readingOrder="0"/>
    </dxf>
  </rfmt>
  <rfmt sheetId="1" sqref="F6" start="0" length="0">
    <dxf>
      <numFmt numFmtId="3" formatCode="#,##0"/>
      <alignment horizontal="general" vertical="bottom" readingOrder="0"/>
    </dxf>
  </rfmt>
  <rfmt sheetId="1" sqref="H6" start="0" length="0">
    <dxf>
      <font>
        <b/>
        <sz val="10"/>
        <color rgb="FF4B4B4B"/>
        <name val="Arial"/>
        <scheme val="none"/>
      </font>
      <numFmt numFmtId="3" formatCode="#,##0"/>
      <alignment horizontal="general" vertical="bottom" readingOrder="0"/>
    </dxf>
  </rfmt>
  <rfmt sheetId="1" sqref="D7" start="0" length="0">
    <dxf>
      <font>
        <b/>
        <sz val="10"/>
        <color rgb="FF4B4B4B"/>
        <name val="Arial"/>
        <scheme val="none"/>
      </font>
      <numFmt numFmtId="4" formatCode="#,##0.00"/>
      <alignment horizontal="general" vertical="bottom" readingOrder="0"/>
    </dxf>
  </rfmt>
  <rfmt sheetId="1" s="1" sqref="E7" start="0" length="0">
    <dxf>
      <numFmt numFmtId="165" formatCode="_-* #,##0\ _z_ł_-;\-* #,##0\ _z_ł_-;_-* &quot;-&quot;??\ _z_ł_-;_-@_-"/>
      <alignment horizontal="general" vertical="bottom" readingOrder="0"/>
      <border outline="0">
        <bottom/>
      </border>
    </dxf>
  </rfmt>
  <rfmt sheetId="1" sqref="F7" start="0" length="0">
    <dxf>
      <numFmt numFmtId="4" formatCode="#,##0.00"/>
      <alignment horizontal="general" vertical="bottom" readingOrder="0"/>
    </dxf>
  </rfmt>
  <rfmt sheetId="1" sqref="H7" start="0" length="0">
    <dxf>
      <font>
        <b/>
        <sz val="10"/>
        <color rgb="FF4B4B4B"/>
        <name val="Arial"/>
        <scheme val="none"/>
      </font>
      <numFmt numFmtId="4" formatCode="#,##0.00"/>
      <alignment horizontal="general" vertical="bottom" readingOrder="0"/>
    </dxf>
  </rfmt>
  <rfmt sheetId="1" s="1" sqref="E8" start="0" length="0">
    <dxf>
      <numFmt numFmtId="165" formatCode="_-* #,##0\ _z_ł_-;\-* #,##0\ _z_ł_-;_-* &quot;-&quot;??\ _z_ł_-;_-@_-"/>
      <alignment horizontal="general" vertical="bottom" readingOrder="0"/>
    </dxf>
  </rfmt>
  <rfmt sheetId="1" s="1" sqref="E9" start="0" length="0">
    <dxf>
      <numFmt numFmtId="3" formatCode="#,##0"/>
      <alignment horizontal="general" vertical="bottom" readingOrder="0"/>
    </dxf>
  </rfmt>
  <rfmt sheetId="1" s="1" sqref="E10" start="0" length="0">
    <dxf>
      <numFmt numFmtId="4" formatCode="#,##0.00"/>
      <alignment horizontal="general" vertical="bottom" readingOrder="0"/>
    </dxf>
  </rfmt>
  <rfmt sheetId="1" sqref="E11" start="0" length="0">
    <dxf>
      <numFmt numFmtId="3" formatCode="#,##0"/>
      <alignment horizontal="general" vertical="bottom" readingOrder="0"/>
    </dxf>
  </rfmt>
  <rfmt sheetId="1" sqref="E12" start="0" length="0">
    <dxf>
      <numFmt numFmtId="166" formatCode="0.0"/>
      <alignment horizontal="general" vertical="bottom" readingOrder="0"/>
    </dxf>
  </rfmt>
  <rfmt sheetId="1" s="1" sqref="E13" start="0" length="0">
    <dxf>
      <numFmt numFmtId="3" formatCode="#,##0"/>
      <alignment horizontal="general" vertical="bottom" readingOrder="0"/>
    </dxf>
  </rfmt>
  <rfmt sheetId="1" sqref="E14" start="0" length="0">
    <dxf>
      <numFmt numFmtId="4" formatCode="#,##0.00"/>
      <alignment horizontal="general" vertical="bottom" readingOrder="0"/>
    </dxf>
  </rfmt>
  <rfmt sheetId="1" sqref="E15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1" sqref="E16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1" sqref="E17" start="0" length="0">
    <dxf>
      <font>
        <sz val="10"/>
        <color rgb="FF4B4B4B"/>
        <name val="Arial"/>
        <scheme val="none"/>
      </font>
      <alignment horizontal="center" vertical="center" wrapText="1" readingOrder="0"/>
    </dxf>
  </rfmt>
  <rfmt sheetId="1" sqref="D18" start="0" length="0">
    <dxf>
      <font>
        <b/>
        <sz val="10"/>
        <color rgb="FF4B4B4B"/>
        <name val="Arial"/>
        <scheme val="none"/>
      </font>
      <alignment wrapText="1" readingOrder="0"/>
      <border outline="0">
        <top style="thin">
          <color rgb="FFE2007A"/>
        </top>
      </border>
    </dxf>
  </rfmt>
  <rfmt sheetId="1" s="1" sqref="E18" start="0" length="0">
    <dxf>
      <numFmt numFmtId="3" formatCode="#,##0"/>
      <alignment horizontal="general" vertical="bottom" readingOrder="0"/>
    </dxf>
  </rfmt>
  <rfmt sheetId="1" sqref="F18" start="0" length="0">
    <dxf>
      <alignment wrapText="1" readingOrder="0"/>
      <border outline="0">
        <top style="thin">
          <color rgb="FFE2007A"/>
        </top>
      </border>
    </dxf>
  </rfmt>
  <rfmt sheetId="1" sqref="H18" start="0" length="0">
    <dxf>
      <font>
        <b/>
        <sz val="10"/>
        <color rgb="FF4B4B4B"/>
        <name val="Arial"/>
        <scheme val="none"/>
      </font>
      <alignment wrapText="1" readingOrder="0"/>
      <border outline="0">
        <top style="thin">
          <color rgb="FFE2007A"/>
        </top>
      </border>
    </dxf>
  </rfmt>
  <rfmt sheetId="1" sqref="D19" start="0" length="0">
    <dxf>
      <font>
        <b/>
        <sz val="10"/>
        <color rgb="FF4B4B4B"/>
        <name val="Arial"/>
        <scheme val="none"/>
      </font>
      <numFmt numFmtId="2" formatCode="0.00"/>
      <alignment horizontal="general" vertical="bottom" readingOrder="0"/>
      <border outline="0">
        <top style="thin">
          <color rgb="FF949494"/>
        </top>
      </border>
    </dxf>
  </rfmt>
  <rfmt sheetId="1" sqref="E19" start="0" length="0">
    <dxf>
      <numFmt numFmtId="2" formatCode="0.00"/>
      <alignment horizontal="general" vertical="bottom" readingOrder="0"/>
    </dxf>
  </rfmt>
  <rfmt sheetId="1" sqref="F19" start="0" length="0">
    <dxf>
      <numFmt numFmtId="2" formatCode="0.00"/>
      <alignment horizontal="general" vertical="bottom" readingOrder="0"/>
      <border outline="0">
        <top style="thin">
          <color rgb="FF949494"/>
        </top>
      </border>
    </dxf>
  </rfmt>
  <rfmt sheetId="1" sqref="H19" start="0" length="0">
    <dxf>
      <font>
        <b/>
        <sz val="10"/>
        <color rgb="FF4B4B4B"/>
        <name val="Arial"/>
        <scheme val="none"/>
      </font>
      <numFmt numFmtId="2" formatCode="0.00"/>
      <alignment horizontal="general" vertical="bottom" readingOrder="0"/>
      <border outline="0">
        <top style="thin">
          <color rgb="FF949494"/>
        </top>
      </border>
    </dxf>
  </rfmt>
  <rfmt sheetId="1" sqref="D20" start="0" length="0">
    <dxf>
      <font>
        <b/>
        <sz val="10"/>
        <color rgb="FF4B4B4B"/>
        <name val="Arial"/>
        <scheme val="none"/>
      </font>
      <numFmt numFmtId="2" formatCode="0.00"/>
      <alignment horizontal="general" vertical="bottom" readingOrder="0"/>
    </dxf>
  </rfmt>
  <rfmt sheetId="1" sqref="E20" start="0" length="0">
    <dxf>
      <numFmt numFmtId="4" formatCode="#,##0.00"/>
      <alignment horizontal="general" vertical="bottom" readingOrder="0"/>
    </dxf>
  </rfmt>
  <rfmt sheetId="1" sqref="F20" start="0" length="0">
    <dxf>
      <numFmt numFmtId="2" formatCode="0.00"/>
      <alignment horizontal="general" vertical="bottom" readingOrder="0"/>
    </dxf>
  </rfmt>
  <rfmt sheetId="1" sqref="H20" start="0" length="0">
    <dxf>
      <font>
        <b/>
        <sz val="10"/>
        <color rgb="FF4B4B4B"/>
        <name val="Arial"/>
        <scheme val="none"/>
      </font>
      <numFmt numFmtId="2" formatCode="0.00"/>
      <alignment horizontal="general" vertical="bottom" readingOrder="0"/>
    </dxf>
  </rfmt>
  <rfmt sheetId="1" sqref="D21" start="0" length="0">
    <dxf>
      <font>
        <b/>
        <sz val="10"/>
        <color rgb="FF4B4B4B"/>
        <name val="Arial"/>
        <scheme val="none"/>
      </font>
      <numFmt numFmtId="2" formatCode="0.00"/>
      <alignment horizontal="general" vertical="bottom" readingOrder="0"/>
    </dxf>
  </rfmt>
  <rfmt sheetId="1" sqref="E21" start="0" length="0">
    <dxf>
      <numFmt numFmtId="4" formatCode="#,##0.00"/>
      <alignment horizontal="general" vertical="bottom" readingOrder="0"/>
    </dxf>
  </rfmt>
  <rfmt sheetId="1" sqref="F21" start="0" length="0">
    <dxf>
      <numFmt numFmtId="2" formatCode="0.00"/>
      <alignment horizontal="general" vertical="bottom" readingOrder="0"/>
    </dxf>
  </rfmt>
  <rfmt sheetId="1" sqref="H21" start="0" length="0">
    <dxf>
      <font>
        <b/>
        <sz val="10"/>
        <color rgb="FF4B4B4B"/>
        <name val="Arial"/>
        <scheme val="none"/>
      </font>
      <numFmt numFmtId="2" formatCode="0.00"/>
      <alignment horizontal="general" vertical="bottom" readingOrder="0"/>
    </dxf>
  </rfmt>
  <rfmt sheetId="1" sqref="D22" start="0" length="0">
    <dxf>
      <font>
        <b/>
        <sz val="10"/>
        <color rgb="FF4B4B4B"/>
        <name val="Arial"/>
        <scheme val="none"/>
      </font>
      <numFmt numFmtId="4" formatCode="#,##0.00"/>
      <alignment horizontal="general" vertical="bottom" readingOrder="0"/>
      <border outline="0">
        <bottom style="thin">
          <color rgb="FF949494"/>
        </bottom>
      </border>
    </dxf>
  </rfmt>
  <rfmt sheetId="1" sqref="E22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1" sqref="F22" start="0" length="0">
    <dxf>
      <numFmt numFmtId="4" formatCode="#,##0.00"/>
      <alignment horizontal="general" vertical="bottom" readingOrder="0"/>
      <border outline="0">
        <bottom style="thin">
          <color rgb="FF949494"/>
        </bottom>
      </border>
    </dxf>
  </rfmt>
  <rfmt sheetId="1" sqref="H22" start="0" length="0">
    <dxf>
      <font>
        <b/>
        <sz val="10"/>
        <color rgb="FF4B4B4B"/>
        <name val="Arial"/>
        <scheme val="none"/>
      </font>
      <numFmt numFmtId="4" formatCode="#,##0.00"/>
      <alignment horizontal="general" vertical="bottom" readingOrder="0"/>
      <border outline="0">
        <bottom style="thin">
          <color rgb="FF949494"/>
        </bottom>
      </border>
    </dxf>
  </rfmt>
  <rfmt sheetId="1" sqref="H2" start="0" length="0">
    <dxf>
      <font>
        <b val="0"/>
        <sz val="10"/>
        <color rgb="FF4B4B4B"/>
        <name val="Arial"/>
        <scheme val="none"/>
      </font>
      <border outline="0">
        <top/>
      </border>
    </dxf>
  </rfmt>
  <rfmt sheetId="1" s="1" sqref="H3" start="0" length="0">
    <dxf>
      <font>
        <b val="0"/>
        <sz val="10"/>
        <color rgb="FF4B4B4B"/>
        <name val="Arial"/>
        <scheme val="none"/>
      </font>
      <numFmt numFmtId="0" formatCode="General"/>
      <alignment horizontal="center" vertical="center" readingOrder="0"/>
      <border outline="0">
        <top/>
      </border>
    </dxf>
  </rfmt>
  <rfmt sheetId="1" sqref="H4" start="0" length="0">
    <dxf>
      <font>
        <b val="0"/>
        <sz val="10"/>
        <color rgb="FF4B4B4B"/>
        <name val="Arial"/>
        <scheme val="none"/>
      </font>
      <numFmt numFmtId="0" formatCode="General"/>
      <alignment horizontal="center" vertical="center" readingOrder="0"/>
    </dxf>
  </rfmt>
  <rfmt sheetId="1" sqref="H5" start="0" length="0">
    <dxf>
      <font>
        <b val="0"/>
        <sz val="10"/>
        <color rgb="FF4B4B4B"/>
        <name val="Arial"/>
        <scheme val="none"/>
      </font>
      <numFmt numFmtId="0" formatCode="General"/>
      <alignment horizontal="center" vertical="center" readingOrder="0"/>
    </dxf>
  </rfmt>
  <rfmt sheetId="1" sqref="H6" start="0" length="0">
    <dxf>
      <font>
        <b val="0"/>
        <sz val="10"/>
        <color rgb="FF4B4B4B"/>
        <name val="Arial"/>
        <scheme val="none"/>
      </font>
      <numFmt numFmtId="0" formatCode="General"/>
      <alignment horizontal="center" vertical="center" readingOrder="0"/>
    </dxf>
  </rfmt>
  <rfmt sheetId="1" sqref="H7" start="0" length="0">
    <dxf>
      <font>
        <b val="0"/>
        <sz val="10"/>
        <color rgb="FF4B4B4B"/>
        <name val="Arial"/>
        <scheme val="none"/>
      </font>
      <numFmt numFmtId="0" formatCode="General"/>
      <alignment horizontal="center" vertical="center" readingOrder="0"/>
    </dxf>
  </rfmt>
  <rfmt sheetId="1" sqref="H18" start="0" length="0">
    <dxf>
      <font>
        <b val="0"/>
        <sz val="10"/>
        <color rgb="FF4B4B4B"/>
        <name val="Arial"/>
        <scheme val="none"/>
      </font>
      <alignment wrapText="0" readingOrder="0"/>
      <border outline="0">
        <top/>
      </border>
    </dxf>
  </rfmt>
  <rfmt sheetId="1" sqref="H19" start="0" length="0">
    <dxf>
      <font>
        <b val="0"/>
        <sz val="10"/>
        <color rgb="FF4B4B4B"/>
        <name val="Arial"/>
        <scheme val="none"/>
      </font>
      <numFmt numFmtId="0" formatCode="General"/>
      <alignment horizontal="center" vertical="center" readingOrder="0"/>
      <border outline="0">
        <top/>
      </border>
    </dxf>
  </rfmt>
  <rfmt sheetId="1" sqref="H20" start="0" length="0">
    <dxf>
      <font>
        <b val="0"/>
        <sz val="10"/>
        <color rgb="FF4B4B4B"/>
        <name val="Arial"/>
        <scheme val="none"/>
      </font>
      <numFmt numFmtId="0" formatCode="General"/>
      <alignment horizontal="center" vertical="center" readingOrder="0"/>
    </dxf>
  </rfmt>
  <rfmt sheetId="1" sqref="H21" start="0" length="0">
    <dxf>
      <font>
        <b val="0"/>
        <sz val="10"/>
        <color rgb="FF4B4B4B"/>
        <name val="Arial"/>
        <scheme val="none"/>
      </font>
      <numFmt numFmtId="0" formatCode="General"/>
      <alignment horizontal="center" vertical="center" readingOrder="0"/>
    </dxf>
  </rfmt>
  <rfmt sheetId="1" sqref="H22" start="0" length="0">
    <dxf>
      <font>
        <b val="0"/>
        <sz val="10"/>
        <color rgb="FF4B4B4B"/>
        <name val="Arial"/>
        <scheme val="none"/>
      </font>
      <numFmt numFmtId="0" formatCode="General"/>
      <alignment horizontal="center" vertical="center" readingOrder="0"/>
      <border outline="0">
        <bottom/>
      </border>
    </dxf>
  </rfmt>
  <rrc rId="1638" sId="1" ref="H1:M1048576" action="insertCol"/>
  <rfmt sheetId="1" sqref="K1" start="0" length="0">
    <dxf>
      <font>
        <sz val="10"/>
        <color rgb="FF4B4B4B"/>
        <name val="Arial"/>
        <scheme val="none"/>
      </font>
      <alignment horizontal="center" wrapText="1" readingOrder="0"/>
    </dxf>
  </rfmt>
  <rfmt sheetId="1" sqref="J2" start="0" length="0">
    <dxf>
      <font>
        <b/>
        <sz val="10"/>
        <color rgb="FF4B4B4B"/>
        <name val="Arial"/>
        <scheme val="none"/>
      </font>
      <border outline="0">
        <top style="thin">
          <color rgb="FFE2007A"/>
        </top>
      </border>
    </dxf>
  </rfmt>
  <rfmt sheetId="1" s="1" sqref="K2" start="0" length="0">
    <dxf>
      <numFmt numFmtId="3" formatCode="#,##0"/>
      <alignment horizontal="general" vertical="bottom" wrapText="0" readingOrder="0"/>
    </dxf>
  </rfmt>
  <rfmt sheetId="1" sqref="L2" start="0" length="0">
    <dxf>
      <border outline="0">
        <top style="thin">
          <color rgb="FFE2007A"/>
        </top>
      </border>
    </dxf>
  </rfmt>
  <rfmt sheetId="1" s="1" sqref="J3" start="0" length="0">
    <dxf>
      <font>
        <b/>
        <sz val="10"/>
        <color rgb="FF4B4B4B"/>
        <name val="Arial"/>
        <scheme val="none"/>
      </font>
      <numFmt numFmtId="3" formatCode="#,##0"/>
      <alignment horizontal="general" vertical="bottom" readingOrder="0"/>
      <border outline="0">
        <top style="thin">
          <color rgb="FF949494"/>
        </top>
      </border>
    </dxf>
  </rfmt>
  <rfmt sheetId="1" sqref="K3" start="0" length="0">
    <dxf>
      <numFmt numFmtId="3" formatCode="#,##0"/>
      <alignment horizontal="general" vertical="bottom" readingOrder="0"/>
    </dxf>
  </rfmt>
  <rfmt sheetId="1" s="1" sqref="L3" start="0" length="0">
    <dxf>
      <numFmt numFmtId="3" formatCode="#,##0"/>
      <alignment horizontal="general" vertical="bottom" readingOrder="0"/>
      <border outline="0">
        <top style="thin">
          <color rgb="FF949494"/>
        </top>
      </border>
    </dxf>
  </rfmt>
  <rfmt sheetId="1" sqref="J4" start="0" length="0">
    <dxf>
      <font>
        <b/>
        <sz val="10"/>
        <color rgb="FF4B4B4B"/>
        <name val="Arial"/>
        <scheme val="none"/>
      </font>
      <numFmt numFmtId="3" formatCode="#,##0"/>
      <alignment horizontal="general" vertical="bottom" readingOrder="0"/>
    </dxf>
  </rfmt>
  <rfmt sheetId="1" sqref="K4" start="0" length="0">
    <dxf>
      <numFmt numFmtId="3" formatCode="#,##0"/>
      <alignment horizontal="general" vertical="bottom" readingOrder="0"/>
    </dxf>
  </rfmt>
  <rfmt sheetId="1" sqref="L4" start="0" length="0">
    <dxf>
      <numFmt numFmtId="3" formatCode="#,##0"/>
      <alignment horizontal="general" vertical="bottom" readingOrder="0"/>
    </dxf>
  </rfmt>
  <rfmt sheetId="1" sqref="J5" start="0" length="0">
    <dxf>
      <font>
        <b/>
        <sz val="10"/>
        <color rgb="FF4B4B4B"/>
        <name val="Arial"/>
        <scheme val="none"/>
      </font>
      <numFmt numFmtId="164" formatCode="#,##0_);[Red]\(#,##0\)"/>
      <alignment horizontal="general" vertical="bottom" readingOrder="0"/>
    </dxf>
  </rfmt>
  <rfmt sheetId="1" sqref="K5" start="0" length="0">
    <dxf>
      <numFmt numFmtId="3" formatCode="#,##0"/>
      <alignment horizontal="general" vertical="bottom" readingOrder="0"/>
    </dxf>
  </rfmt>
  <rfmt sheetId="1" sqref="L5" start="0" length="0">
    <dxf>
      <numFmt numFmtId="3" formatCode="#,##0"/>
      <alignment horizontal="general" vertical="bottom" readingOrder="0"/>
    </dxf>
  </rfmt>
  <rfmt sheetId="1" sqref="J6" start="0" length="0">
    <dxf>
      <font>
        <b/>
        <sz val="10"/>
        <color rgb="FF4B4B4B"/>
        <name val="Arial"/>
        <scheme val="none"/>
      </font>
      <numFmt numFmtId="3" formatCode="#,##0"/>
      <alignment horizontal="general" vertical="bottom" readingOrder="0"/>
    </dxf>
  </rfmt>
  <rfmt sheetId="1" sqref="K6" start="0" length="0">
    <dxf>
      <numFmt numFmtId="3" formatCode="#,##0"/>
      <alignment horizontal="general" vertical="bottom" readingOrder="0"/>
    </dxf>
  </rfmt>
  <rfmt sheetId="1" sqref="L6" start="0" length="0">
    <dxf>
      <numFmt numFmtId="3" formatCode="#,##0"/>
      <alignment horizontal="general" vertical="bottom" readingOrder="0"/>
    </dxf>
  </rfmt>
  <rfmt sheetId="1" sqref="J7" start="0" length="0">
    <dxf>
      <font>
        <b/>
        <sz val="10"/>
        <color rgb="FF4B4B4B"/>
        <name val="Arial"/>
        <scheme val="none"/>
      </font>
      <numFmt numFmtId="4" formatCode="#,##0.00"/>
      <alignment horizontal="general" vertical="bottom" readingOrder="0"/>
    </dxf>
  </rfmt>
  <rfmt sheetId="1" s="1" sqref="K7" start="0" length="0">
    <dxf>
      <numFmt numFmtId="165" formatCode="_-* #,##0\ _z_ł_-;\-* #,##0\ _z_ł_-;_-* &quot;-&quot;??\ _z_ł_-;_-@_-"/>
      <alignment horizontal="general" vertical="bottom" readingOrder="0"/>
      <border outline="0">
        <bottom/>
      </border>
    </dxf>
  </rfmt>
  <rfmt sheetId="1" sqref="L7" start="0" length="0">
    <dxf>
      <numFmt numFmtId="4" formatCode="#,##0.00"/>
      <alignment horizontal="general" vertical="bottom" readingOrder="0"/>
    </dxf>
  </rfmt>
  <rfmt sheetId="1" s="1" sqref="K8" start="0" length="0">
    <dxf>
      <numFmt numFmtId="165" formatCode="_-* #,##0\ _z_ł_-;\-* #,##0\ _z_ł_-;_-* &quot;-&quot;??\ _z_ł_-;_-@_-"/>
      <alignment horizontal="general" vertical="bottom" readingOrder="0"/>
    </dxf>
  </rfmt>
  <rfmt sheetId="1" s="1" sqref="K9" start="0" length="0">
    <dxf>
      <numFmt numFmtId="3" formatCode="#,##0"/>
      <alignment horizontal="general" vertical="bottom" readingOrder="0"/>
    </dxf>
  </rfmt>
  <rfmt sheetId="1" s="1" sqref="K10" start="0" length="0">
    <dxf>
      <numFmt numFmtId="4" formatCode="#,##0.00"/>
      <alignment horizontal="general" vertical="bottom" readingOrder="0"/>
    </dxf>
  </rfmt>
  <rfmt sheetId="1" sqref="K11" start="0" length="0">
    <dxf>
      <numFmt numFmtId="3" formatCode="#,##0"/>
      <alignment horizontal="general" vertical="bottom" readingOrder="0"/>
    </dxf>
  </rfmt>
  <rfmt sheetId="1" sqref="K12" start="0" length="0">
    <dxf>
      <numFmt numFmtId="166" formatCode="0.0"/>
      <alignment horizontal="general" vertical="bottom" readingOrder="0"/>
    </dxf>
  </rfmt>
  <rfmt sheetId="1" s="1" sqref="K13" start="0" length="0">
    <dxf>
      <numFmt numFmtId="3" formatCode="#,##0"/>
      <alignment horizontal="general" vertical="bottom" readingOrder="0"/>
    </dxf>
  </rfmt>
  <rfmt sheetId="1" sqref="K14" start="0" length="0">
    <dxf>
      <numFmt numFmtId="4" formatCode="#,##0.00"/>
      <alignment horizontal="general" vertical="bottom" readingOrder="0"/>
    </dxf>
  </rfmt>
  <rfmt sheetId="1" sqref="K15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1" sqref="K16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1" sqref="K17" start="0" length="0">
    <dxf>
      <font>
        <sz val="10"/>
        <color rgb="FF4B4B4B"/>
        <name val="Arial"/>
        <scheme val="none"/>
      </font>
      <alignment horizontal="center" vertical="center" wrapText="1" readingOrder="0"/>
    </dxf>
  </rfmt>
  <rfmt sheetId="1" sqref="J18" start="0" length="0">
    <dxf>
      <font>
        <b/>
        <sz val="10"/>
        <color rgb="FF4B4B4B"/>
        <name val="Arial"/>
        <scheme val="none"/>
      </font>
      <alignment wrapText="1" readingOrder="0"/>
      <border outline="0">
        <top style="thin">
          <color rgb="FFE2007A"/>
        </top>
      </border>
    </dxf>
  </rfmt>
  <rfmt sheetId="1" s="1" sqref="K18" start="0" length="0">
    <dxf>
      <numFmt numFmtId="3" formatCode="#,##0"/>
      <alignment horizontal="general" vertical="bottom" readingOrder="0"/>
    </dxf>
  </rfmt>
  <rfmt sheetId="1" sqref="L18" start="0" length="0">
    <dxf>
      <alignment wrapText="1" readingOrder="0"/>
      <border outline="0">
        <top style="thin">
          <color rgb="FFE2007A"/>
        </top>
      </border>
    </dxf>
  </rfmt>
  <rfmt sheetId="1" sqref="J19" start="0" length="0">
    <dxf>
      <font>
        <b/>
        <sz val="10"/>
        <color rgb="FF4B4B4B"/>
        <name val="Arial"/>
        <scheme val="none"/>
      </font>
      <numFmt numFmtId="2" formatCode="0.00"/>
      <alignment horizontal="general" vertical="bottom" readingOrder="0"/>
      <border outline="0">
        <top style="thin">
          <color rgb="FF949494"/>
        </top>
      </border>
    </dxf>
  </rfmt>
  <rfmt sheetId="1" sqref="K19" start="0" length="0">
    <dxf>
      <numFmt numFmtId="2" formatCode="0.00"/>
      <alignment horizontal="general" vertical="bottom" readingOrder="0"/>
    </dxf>
  </rfmt>
  <rfmt sheetId="1" sqref="L19" start="0" length="0">
    <dxf>
      <numFmt numFmtId="2" formatCode="0.00"/>
      <alignment horizontal="general" vertical="bottom" readingOrder="0"/>
      <border outline="0">
        <top style="thin">
          <color rgb="FF949494"/>
        </top>
      </border>
    </dxf>
  </rfmt>
  <rfmt sheetId="1" sqref="J20" start="0" length="0">
    <dxf>
      <font>
        <b/>
        <sz val="10"/>
        <color rgb="FF4B4B4B"/>
        <name val="Arial"/>
        <scheme val="none"/>
      </font>
      <numFmt numFmtId="2" formatCode="0.00"/>
      <alignment horizontal="general" vertical="bottom" readingOrder="0"/>
    </dxf>
  </rfmt>
  <rfmt sheetId="1" sqref="K20" start="0" length="0">
    <dxf>
      <numFmt numFmtId="4" formatCode="#,##0.00"/>
      <alignment horizontal="general" vertical="bottom" readingOrder="0"/>
    </dxf>
  </rfmt>
  <rfmt sheetId="1" sqref="L20" start="0" length="0">
    <dxf>
      <numFmt numFmtId="2" formatCode="0.00"/>
      <alignment horizontal="general" vertical="bottom" readingOrder="0"/>
    </dxf>
  </rfmt>
  <rfmt sheetId="1" sqref="J21" start="0" length="0">
    <dxf>
      <font>
        <b/>
        <sz val="10"/>
        <color rgb="FF4B4B4B"/>
        <name val="Arial"/>
        <scheme val="none"/>
      </font>
      <numFmt numFmtId="2" formatCode="0.00"/>
      <alignment horizontal="general" vertical="bottom" readingOrder="0"/>
    </dxf>
  </rfmt>
  <rfmt sheetId="1" sqref="K21" start="0" length="0">
    <dxf>
      <numFmt numFmtId="4" formatCode="#,##0.00"/>
      <alignment horizontal="general" vertical="bottom" readingOrder="0"/>
    </dxf>
  </rfmt>
  <rfmt sheetId="1" sqref="L21" start="0" length="0">
    <dxf>
      <numFmt numFmtId="2" formatCode="0.00"/>
      <alignment horizontal="general" vertical="bottom" readingOrder="0"/>
    </dxf>
  </rfmt>
  <rfmt sheetId="1" sqref="J22" start="0" length="0">
    <dxf>
      <font>
        <b/>
        <sz val="10"/>
        <color rgb="FF4B4B4B"/>
        <name val="Arial"/>
        <scheme val="none"/>
      </font>
      <numFmt numFmtId="4" formatCode="#,##0.00"/>
      <alignment horizontal="general" vertical="bottom" readingOrder="0"/>
      <border outline="0">
        <bottom style="thin">
          <color rgb="FF949494"/>
        </bottom>
      </border>
    </dxf>
  </rfmt>
  <rfmt sheetId="1" sqref="K22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1" sqref="L22" start="0" length="0">
    <dxf>
      <numFmt numFmtId="4" formatCode="#,##0.00"/>
      <alignment horizontal="general" vertical="bottom" readingOrder="0"/>
      <border outline="0">
        <bottom style="thin">
          <color rgb="FF949494"/>
        </bottom>
      </border>
    </dxf>
  </rfmt>
  <rrc rId="1639" sId="1" ref="H1:H1048576" action="deleteCol">
    <rfmt sheetId="1" xfDxf="1" sqref="H1:H1048576" start="0" length="0">
      <dxf>
        <fill>
          <patternFill patternType="solid">
            <bgColor theme="0"/>
          </patternFill>
        </fill>
      </dxf>
    </rfmt>
    <rfmt sheetId="1" sqref="H1" start="0" length="0">
      <dxf>
        <font>
          <sz val="12"/>
          <color rgb="FF4B4B4B"/>
          <name val="Arial"/>
          <scheme val="none"/>
        </font>
        <alignment vertical="center" readingOrder="0"/>
      </dxf>
    </rfmt>
    <rfmt sheetId="1" sqref="H2" start="0" length="0">
      <dxf>
        <font>
          <sz val="10"/>
          <color rgb="FF4B4B4B"/>
          <name val="Arial"/>
          <scheme val="none"/>
        </font>
        <alignment horizontal="center" vertical="center" wrapText="1" readingOrder="0"/>
      </dxf>
    </rfmt>
    <rfmt sheetId="1" sqref="H3" start="0" length="0">
      <dxf>
        <font>
          <sz val="10"/>
          <color rgb="FF4B4B4B"/>
          <name val="Arial"/>
          <scheme val="none"/>
        </font>
        <alignment horizontal="center" vertical="center" readingOrder="0"/>
      </dxf>
    </rfmt>
    <rfmt sheetId="1" sqref="H4" start="0" length="0">
      <dxf>
        <font>
          <sz val="10"/>
          <color rgb="FF4B4B4B"/>
          <name val="Arial"/>
          <scheme val="none"/>
        </font>
        <alignment horizontal="center" vertical="center" readingOrder="0"/>
      </dxf>
    </rfmt>
    <rfmt sheetId="1" sqref="H5" start="0" length="0">
      <dxf>
        <font>
          <sz val="10"/>
          <color rgb="FF4B4B4B"/>
          <name val="Arial"/>
          <scheme val="none"/>
        </font>
        <alignment horizontal="center" vertical="center" readingOrder="0"/>
      </dxf>
    </rfmt>
    <rfmt sheetId="1" sqref="H6" start="0" length="0">
      <dxf>
        <font>
          <sz val="10"/>
          <color rgb="FF4B4B4B"/>
          <name val="Arial"/>
          <scheme val="none"/>
        </font>
        <alignment horizontal="center" vertical="center" readingOrder="0"/>
      </dxf>
    </rfmt>
    <rfmt sheetId="1" sqref="H7" start="0" length="0">
      <dxf>
        <font>
          <sz val="10"/>
          <color rgb="FF4B4B4B"/>
          <name val="Arial"/>
          <scheme val="none"/>
        </font>
        <alignment horizontal="center" vertical="center" readingOrder="0"/>
        <border outline="0">
          <bottom style="thin">
            <color rgb="FF949494"/>
          </bottom>
        </border>
      </dxf>
    </rfmt>
    <rfmt sheetId="1" sqref="H8" start="0" length="0">
      <dxf>
        <font>
          <sz val="10"/>
          <color rgb="FF4B4B4B"/>
          <name val="Arial"/>
          <scheme val="none"/>
        </font>
        <alignment horizontal="center" vertical="center" readingOrder="0"/>
      </dxf>
    </rfmt>
    <rfmt sheetId="1" sqref="H9" start="0" length="0">
      <dxf>
        <font>
          <sz val="10"/>
          <color rgb="FF4B4B4B"/>
          <name val="Arial"/>
          <scheme val="none"/>
        </font>
        <alignment horizontal="center" vertical="center" readingOrder="0"/>
      </dxf>
    </rfmt>
    <rfmt sheetId="1" sqref="H10" start="0" length="0">
      <dxf>
        <font>
          <sz val="10"/>
          <color rgb="FF4B4B4B"/>
          <name val="Arial"/>
          <scheme val="none"/>
        </font>
        <alignment horizontal="center" vertical="center" readingOrder="0"/>
      </dxf>
    </rfmt>
    <rfmt sheetId="1" sqref="H11" start="0" length="0">
      <dxf>
        <font>
          <sz val="10"/>
          <color rgb="FF4B4B4B"/>
          <name val="Arial"/>
          <scheme val="none"/>
        </font>
        <alignment horizontal="center" vertical="center" readingOrder="0"/>
      </dxf>
    </rfmt>
    <rfmt sheetId="1" sqref="H12" start="0" length="0">
      <dxf>
        <font>
          <sz val="10"/>
          <color rgb="FF4B4B4B"/>
          <name val="Arial"/>
          <scheme val="none"/>
        </font>
        <alignment horizontal="center" vertical="center" readingOrder="0"/>
      </dxf>
    </rfmt>
    <rfmt sheetId="1" sqref="H13" start="0" length="0">
      <dxf>
        <font>
          <sz val="10"/>
          <color rgb="FF4B4B4B"/>
          <name val="Arial"/>
          <scheme val="none"/>
        </font>
        <alignment horizontal="center" vertical="center" readingOrder="0"/>
      </dxf>
    </rfmt>
    <rfmt sheetId="1" sqref="H14" start="0" length="0">
      <dxf>
        <font>
          <sz val="10"/>
          <color rgb="FF4B4B4B"/>
          <name val="Arial"/>
          <scheme val="none"/>
        </font>
        <alignment horizontal="center" vertical="center" readingOrder="0"/>
      </dxf>
    </rfmt>
    <rfmt sheetId="1" sqref="H15" start="0" length="0">
      <dxf>
        <font>
          <sz val="10"/>
          <color rgb="FF4B4B4B"/>
          <name val="Arial"/>
          <scheme val="none"/>
        </font>
        <alignment horizontal="center" vertical="center" readingOrder="0"/>
      </dxf>
    </rfmt>
    <rfmt sheetId="1" sqref="H16" start="0" length="0">
      <dxf>
        <font>
          <sz val="10"/>
          <color rgb="FF4B4B4B"/>
          <name val="Arial"/>
          <scheme val="none"/>
        </font>
        <alignment horizontal="center" vertical="center" readingOrder="0"/>
      </dxf>
    </rfmt>
    <rfmt sheetId="1" sqref="H18" start="0" length="0">
      <dxf>
        <font>
          <sz val="10"/>
          <color rgb="FF4B4B4B"/>
          <name val="Arial"/>
          <scheme val="none"/>
        </font>
        <alignment horizontal="center" vertical="center" readingOrder="0"/>
      </dxf>
    </rfmt>
    <rfmt sheetId="1" sqref="H19" start="0" length="0">
      <dxf>
        <font>
          <sz val="10"/>
          <color rgb="FF4B4B4B"/>
          <name val="Arial"/>
          <scheme val="none"/>
        </font>
        <alignment horizontal="center" vertical="center" readingOrder="0"/>
      </dxf>
    </rfmt>
    <rfmt sheetId="1" sqref="H20" start="0" length="0">
      <dxf>
        <font>
          <sz val="10"/>
          <color rgb="FF4B4B4B"/>
          <name val="Arial"/>
          <scheme val="none"/>
        </font>
        <alignment horizontal="center" vertical="center" readingOrder="0"/>
      </dxf>
    </rfmt>
    <rfmt sheetId="1" sqref="H21" start="0" length="0">
      <dxf>
        <font>
          <sz val="10"/>
          <color rgb="FF4B4B4B"/>
          <name val="Arial"/>
          <scheme val="none"/>
        </font>
        <alignment horizontal="center" vertical="center" readingOrder="0"/>
      </dxf>
    </rfmt>
    <rfmt sheetId="1" sqref="H22" start="0" length="0">
      <dxf>
        <font>
          <sz val="10"/>
          <color rgb="FF4B4B4B"/>
          <name val="Arial"/>
          <scheme val="none"/>
        </font>
        <alignment horizontal="center" vertical="center" readingOrder="0"/>
      </dxf>
    </rfmt>
  </rrc>
  <rfmt sheetId="1" sqref="D2" start="0" length="0">
    <dxf>
      <font>
        <b val="0"/>
        <sz val="10"/>
        <color rgb="FF4B4B4B"/>
        <name val="Arial"/>
        <scheme val="none"/>
      </font>
    </dxf>
  </rfmt>
  <rfmt sheetId="1" s="1" sqref="E2" start="0" length="0">
    <dxf>
      <font>
        <sz val="11"/>
        <color theme="1"/>
        <name val="Calibri"/>
        <scheme val="minor"/>
      </font>
      <numFmt numFmtId="0" formatCode="General"/>
    </dxf>
  </rfmt>
  <rfmt sheetId="1" sqref="D2" start="0" length="2147483647">
    <dxf>
      <font>
        <b/>
      </font>
    </dxf>
  </rfmt>
  <rcc rId="1640" sId="1">
    <nc r="D2" t="inlineStr">
      <is>
        <t>Za okres
9 miesięcy 2016 r.</t>
      </is>
    </nc>
  </rcc>
  <rcc rId="1641" sId="1">
    <nc r="F2" t="inlineStr">
      <is>
        <t>Za okres
9 miesięcy 2015 r.</t>
      </is>
    </nc>
  </rcc>
  <rcc rId="1642" sId="1">
    <nc r="I2" t="inlineStr">
      <is>
        <t>III kwartał 
2016 r.</t>
      </is>
    </nc>
  </rcc>
  <rcc rId="1643" sId="1">
    <nc r="K2" t="inlineStr">
      <is>
        <t>III kwartał 
2015 r.</t>
      </is>
    </nc>
  </rcc>
  <rcc rId="1644" sId="1">
    <nc r="I18" t="inlineStr">
      <is>
        <t>III kwartał 
2016 r.</t>
      </is>
    </nc>
  </rcc>
  <rcc rId="1645" sId="1">
    <nc r="K18" t="inlineStr">
      <is>
        <t>III kwartał 
2015 r.</t>
      </is>
    </nc>
  </rcc>
  <rcc rId="1646" sId="1">
    <nc r="D18" t="inlineStr">
      <is>
        <t>Za okres
9 miesięcy 2016 r.</t>
      </is>
    </nc>
  </rcc>
  <rfmt sheetId="1" s="1" sqref="E18" start="0" length="0">
    <dxf>
      <font>
        <sz val="11"/>
        <color theme="1"/>
        <name val="Calibri"/>
        <scheme val="minor"/>
      </font>
      <numFmt numFmtId="0" formatCode="General"/>
    </dxf>
  </rfmt>
  <rcc rId="1647" sId="1">
    <nc r="F18" t="inlineStr">
      <is>
        <t>Za okres
9 miesięcy 2015 r.</t>
      </is>
    </nc>
  </rcc>
  <rcv guid="{77EFF5B1-32BE-4080-9902-B97F43099026}" action="delete"/>
  <rcv guid="{77EFF5B1-32BE-4080-9902-B97F43099026}" action="add"/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48" sId="1" numFmtId="4">
    <nc r="D3">
      <v>13123745</v>
    </nc>
  </rcc>
  <rcc rId="1649" sId="1" numFmtId="4">
    <nc r="F3">
      <v>13634241</v>
    </nc>
  </rcc>
  <rcc rId="1650" sId="1" numFmtId="4">
    <nc r="D4">
      <v>2457512</v>
    </nc>
  </rcc>
  <rcc rId="1651" sId="1" numFmtId="4">
    <nc r="F4">
      <v>2841076</v>
    </nc>
  </rcc>
  <rcc rId="1652" sId="1" numFmtId="4">
    <nc r="D5">
      <v>276132</v>
    </nc>
  </rcc>
  <rcc rId="1653" sId="1" numFmtId="4">
    <nc r="F5">
      <v>1079155</v>
    </nc>
  </rcc>
  <rcc rId="1654" sId="1" numFmtId="4">
    <nc r="D6">
      <v>2449817</v>
    </nc>
  </rcc>
  <rcc rId="1655" sId="1" odxf="1" dxf="1" numFmtId="4">
    <nc r="F6">
      <v>2778872</v>
    </nc>
    <odxf/>
    <ndxf/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56" sId="1" numFmtId="4">
    <nc r="D7">
      <v>2.64</v>
    </nc>
  </rcc>
  <rcc rId="1657" sId="1" numFmtId="4">
    <nc r="F7">
      <v>2.57</v>
    </nc>
  </rcc>
  <rcv guid="{77EFF5B1-32BE-4080-9902-B97F43099026}" action="delete"/>
  <rcv guid="{77EFF5B1-32BE-4080-9902-B97F43099026}" action="add"/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58" sId="1" numFmtId="4">
    <oc r="F7">
      <v>2.57</v>
    </oc>
    <nc r="F7">
      <v>1.97</v>
    </nc>
  </rcc>
  <rcc rId="1659" sId="1" numFmtId="4">
    <nc r="I7">
      <v>2.64</v>
    </nc>
  </rcc>
  <rcc rId="1660" sId="1" numFmtId="4">
    <nc r="K7">
      <v>1.97</v>
    </nc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61" sId="1" numFmtId="4">
    <nc r="I6">
      <v>997687</v>
    </nc>
  </rcc>
  <rcc rId="1662" sId="1" odxf="1" dxf="1" numFmtId="4">
    <nc r="K6">
      <v>1008145</v>
    </nc>
    <odxf/>
    <ndxf/>
  </rcc>
  <rcc rId="1663" sId="1" numFmtId="4">
    <nc r="I3">
      <v>4180888</v>
    </nc>
  </rcc>
  <rcc rId="1664" sId="1" numFmtId="4">
    <nc r="K3">
      <v>4377627</v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65" sId="1" numFmtId="4">
    <nc r="I4">
      <v>804106</v>
    </nc>
  </rcc>
  <rcc rId="1666" sId="1" numFmtId="4">
    <nc r="K4">
      <v>933204</v>
    </nc>
  </rcc>
  <rcc rId="1667" sId="1" numFmtId="4">
    <nc r="I5">
      <v>271415</v>
    </nc>
  </rcc>
  <rcc rId="1668" sId="1" numFmtId="4">
    <nc r="K5">
      <v>358768</v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I5" start="0" length="0">
    <dxf>
      <font>
        <sz val="10"/>
        <color rgb="FF4B4B4B"/>
        <name val="Arial"/>
        <scheme val="none"/>
      </font>
      <numFmt numFmtId="3" formatCode="#,##0"/>
    </dxf>
  </rfmt>
  <rcc rId="1669" sId="1" numFmtId="4">
    <nc r="D19">
      <v>4.21</v>
    </nc>
  </rcc>
  <rcc rId="1670" sId="1" odxf="1" dxf="1" numFmtId="4">
    <nc r="F19">
      <v>3.45</v>
    </nc>
    <odxf>
      <border outline="0">
        <top style="thin">
          <color rgb="FF949494"/>
        </top>
      </border>
    </odxf>
    <ndxf>
      <border outline="0">
        <top/>
      </border>
    </ndxf>
  </rcc>
  <rcc rId="1671" sId="1" numFmtId="4">
    <nc r="D20">
      <v>12.45</v>
    </nc>
  </rcc>
  <rcc rId="1672" sId="1" odxf="1" dxf="1" numFmtId="4">
    <nc r="F20">
      <v>13.8</v>
    </nc>
    <odxf>
      <numFmt numFmtId="2" formatCode="0.00"/>
    </odxf>
    <ndxf>
      <numFmt numFmtId="4" formatCode="#,##0.00"/>
    </ndxf>
  </rcc>
  <rcc rId="1673" sId="1" numFmtId="4">
    <nc r="D21">
      <v>36.82</v>
    </nc>
  </rcc>
  <rcc rId="1674" sId="1" odxf="1" dxf="1" numFmtId="4">
    <nc r="F21">
      <v>36.69</v>
    </nc>
    <odxf>
      <numFmt numFmtId="2" formatCode="0.00"/>
    </odxf>
    <ndxf>
      <numFmt numFmtId="4" formatCode="#,##0.00"/>
    </ndxf>
  </rcc>
  <rcc rId="1675" sId="1" numFmtId="4">
    <nc r="D22">
      <v>23.19</v>
    </nc>
  </rcc>
  <rcc rId="1676" sId="1" odxf="1" dxf="1">
    <nc r="F22">
      <v>26.46</v>
    </nc>
    <odxf>
      <font>
        <sz val="10"/>
        <color rgb="FF4B4B4B"/>
        <name val="Arial"/>
        <scheme val="none"/>
      </font>
      <numFmt numFmtId="4" formatCode="#,##0.00"/>
      <border outline="0">
        <bottom style="thin">
          <color rgb="FF949494"/>
        </bottom>
      </border>
    </odxf>
    <ndxf>
      <font>
        <sz val="11"/>
        <color theme="1"/>
        <name val="Calibri"/>
        <scheme val="minor"/>
      </font>
      <numFmt numFmtId="0" formatCode="General"/>
      <border outline="0">
        <bottom/>
      </border>
    </ndxf>
  </rcc>
  <rcv guid="{77EFF5B1-32BE-4080-9902-B97F43099026}" action="delete"/>
  <rcv guid="{77EFF5B1-32BE-4080-9902-B97F43099026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26" sId="6" numFmtId="4">
    <oc r="C5">
      <v>25066173</v>
    </oc>
    <nc r="C5">
      <v>25637117</v>
    </nc>
  </rcc>
  <rcc rId="1227" sId="6" numFmtId="4">
    <oc r="C7">
      <v>94988</v>
    </oc>
    <nc r="C7">
      <v>119502</v>
    </nc>
  </rcc>
  <rcc rId="1228" sId="6" numFmtId="4">
    <oc r="C8">
      <v>1197136</v>
    </oc>
    <nc r="C8">
      <v>1212099</v>
    </nc>
  </rcc>
  <rcc rId="1229" sId="6" numFmtId="4">
    <oc r="C9">
      <v>462202</v>
    </oc>
    <nc r="C9">
      <v>474615</v>
    </nc>
  </rcc>
  <rcc rId="1230" sId="6" numFmtId="4">
    <oc r="C10">
      <v>225837</v>
    </oc>
    <nc r="C10">
      <v>227883</v>
    </nc>
  </rcc>
  <rcc rId="1231" sId="6" numFmtId="4">
    <oc r="C11">
      <v>237582</v>
    </oc>
    <nc r="C11">
      <v>243550</v>
    </nc>
  </rcc>
  <rcc rId="1232" sId="6" numFmtId="4">
    <oc r="C12">
      <v>514318</v>
    </oc>
    <nc r="C12">
      <v>465787</v>
    </nc>
  </rcc>
  <rcc rId="1233" sId="6" numFmtId="4">
    <oc r="C13">
      <v>65730</v>
    </oc>
    <nc r="C13">
      <v>65758</v>
    </nc>
  </rcc>
  <rcc rId="1234" sId="6" numFmtId="4">
    <oc r="C14">
      <v>27904122</v>
    </oc>
    <nc r="C14">
      <v>28486467</v>
    </nc>
  </rcc>
  <rcc rId="1235" sId="6" numFmtId="4">
    <oc r="C16">
      <v>648516</v>
    </oc>
    <nc r="C16">
      <v>714412</v>
    </nc>
  </rcc>
  <rcc rId="1236" sId="6" numFmtId="4">
    <oc r="C17">
      <v>404983</v>
    </oc>
    <nc r="C17">
      <v>425213</v>
    </nc>
  </rcc>
  <rcc rId="1237" sId="6" numFmtId="4">
    <oc r="C18">
      <v>1695043</v>
    </oc>
    <nc r="C18">
      <v>1625916</v>
    </nc>
  </rcc>
  <rcc rId="1238" sId="6" numFmtId="4">
    <oc r="C19">
      <v>115174</v>
    </oc>
    <nc r="C19">
      <v>61690</v>
    </nc>
  </rcc>
  <rcc rId="1239" sId="6" numFmtId="4">
    <oc r="C20">
      <v>253372</v>
    </oc>
    <nc r="C20">
      <v>193216</v>
    </nc>
  </rcc>
  <rcc rId="1240" sId="6" numFmtId="4">
    <oc r="C21">
      <v>205206</v>
    </oc>
    <nc r="C21">
      <v>134842</v>
    </nc>
  </rcc>
  <rcc rId="1241" sId="6" numFmtId="4">
    <oc r="C22">
      <v>422123</v>
    </oc>
    <nc r="C22">
      <v>261017</v>
    </nc>
  </rcc>
  <rcc rId="1242" sId="6" numFmtId="4">
    <oc r="C23">
      <v>13283</v>
    </oc>
    <nc r="C23">
      <v>10913</v>
    </nc>
  </rcc>
  <rcc rId="1243" sId="6" numFmtId="4">
    <oc r="C24">
      <v>3757700</v>
    </oc>
    <nc r="C24">
      <v>3427219</v>
    </nc>
  </rcc>
  <rcc rId="1244" sId="6" numFmtId="4">
    <oc r="C26">
      <v>31661822</v>
    </oc>
    <nc r="C26">
      <v>31913686</v>
    </nc>
  </rcc>
  <rcc rId="1245" sId="6">
    <oc r="B5">
      <v>17</v>
    </oc>
    <nc r="B5">
      <v>16</v>
    </nc>
  </rcc>
  <rcc rId="1246" sId="6">
    <oc r="B6">
      <v>18</v>
    </oc>
    <nc r="B6">
      <v>17</v>
    </nc>
  </rcc>
  <rcc rId="1247" sId="6">
    <oc r="B7" t="inlineStr">
      <is>
        <t>19.1</t>
      </is>
    </oc>
    <nc r="B7" t="inlineStr">
      <is>
        <t>18.1</t>
      </is>
    </nc>
  </rcc>
  <rcc rId="1248" sId="6">
    <oc r="B8">
      <v>20</v>
    </oc>
    <nc r="B8">
      <v>19</v>
    </nc>
  </rcc>
  <rcc rId="1249" sId="6">
    <oc r="B9">
      <v>21</v>
    </oc>
    <nc r="B9">
      <v>20</v>
    </nc>
  </rcc>
  <rcc rId="1250" sId="6">
    <oc r="B10">
      <v>22</v>
    </oc>
    <nc r="B10">
      <v>21</v>
    </nc>
  </rcc>
  <rcc rId="1251" sId="6">
    <oc r="B11">
      <v>23</v>
    </oc>
    <nc r="B11">
      <v>22</v>
    </nc>
  </rcc>
  <rcc rId="1252" sId="6">
    <oc r="B12" t="inlineStr">
      <is>
        <t>24.1</t>
      </is>
    </oc>
    <nc r="B12" t="inlineStr">
      <is>
        <t>23.1</t>
      </is>
    </nc>
  </rcc>
  <rcc rId="1253" sId="6">
    <oc r="B13" t="inlineStr">
      <is>
        <t>15.2</t>
      </is>
    </oc>
    <nc r="B13" t="inlineStr">
      <is>
        <t>14.2</t>
      </is>
    </nc>
  </rcc>
  <rcc rId="1254" sId="6">
    <oc r="B16" t="inlineStr">
      <is>
        <t>19.2</t>
      </is>
    </oc>
    <nc r="B16" t="inlineStr">
      <is>
        <t>18.2</t>
      </is>
    </nc>
  </rcc>
  <rcc rId="1255" sId="6">
    <oc r="B17">
      <v>25</v>
    </oc>
    <nc r="B17">
      <v>24</v>
    </nc>
  </rcc>
  <rcc rId="1256" sId="6">
    <oc r="B18">
      <v>26</v>
    </oc>
    <nc r="B18">
      <v>25</v>
    </nc>
  </rcc>
  <rcc rId="1257" sId="6">
    <oc r="B19">
      <v>27</v>
    </oc>
    <nc r="B19">
      <v>26</v>
    </nc>
  </rcc>
  <rcc rId="1258" sId="6">
    <oc r="B20">
      <v>23</v>
    </oc>
    <nc r="B20">
      <v>22</v>
    </nc>
  </rcc>
  <rcc rId="1259" sId="6">
    <oc r="B21" t="inlineStr">
      <is>
        <t>24.2</t>
      </is>
    </oc>
    <nc r="B21" t="inlineStr">
      <is>
        <t>23.2</t>
      </is>
    </nc>
  </rcc>
  <rcc rId="1260" sId="6" numFmtId="4">
    <oc r="B22">
      <v>28</v>
    </oc>
    <nc r="B22">
      <v>27</v>
    </nc>
  </rcc>
  <rcc rId="1261" sId="6" numFmtId="4">
    <oc r="C32">
      <v>-33849</v>
    </oc>
    <nc r="C32">
      <v>-5424</v>
    </nc>
  </rcc>
  <rcc rId="1262" sId="6" numFmtId="4">
    <oc r="C33">
      <v>9131</v>
    </oc>
    <nc r="C33">
      <v>1752</v>
    </nc>
  </rcc>
  <rcc rId="1263" sId="6" numFmtId="4">
    <oc r="C34">
      <v>-505261</v>
    </oc>
    <nc r="C34">
      <v>-233429</v>
    </nc>
  </rcc>
  <rcc rId="1264" sId="6" numFmtId="4">
    <oc r="C35">
      <v>16056107</v>
    </oc>
    <nc r="C35">
      <v>16348985</v>
    </nc>
  </rcc>
  <rcc rId="1265" sId="6" numFmtId="4">
    <oc r="C37">
      <v>28016</v>
    </oc>
    <nc r="C37">
      <v>28534</v>
    </nc>
  </rcc>
  <rcc rId="1266" sId="6" numFmtId="4">
    <oc r="C39">
      <v>16084123</v>
    </oc>
    <nc r="C39">
      <v>16377519</v>
    </nc>
  </rcc>
  <rcc rId="1267" sId="6">
    <oc r="B30" t="inlineStr">
      <is>
        <t>29.1</t>
      </is>
    </oc>
    <nc r="B30" t="inlineStr">
      <is>
        <t>28.1</t>
      </is>
    </nc>
  </rcc>
  <rcc rId="1268" sId="6">
    <oc r="B31" t="inlineStr">
      <is>
        <t>29.2</t>
      </is>
    </oc>
    <nc r="B31" t="inlineStr">
      <is>
        <t>28.2</t>
      </is>
    </nc>
  </rcc>
  <rcc rId="1269" sId="6">
    <oc r="B32" t="inlineStr">
      <is>
        <t>29.3</t>
      </is>
    </oc>
    <nc r="B32" t="inlineStr">
      <is>
        <t>28.3</t>
      </is>
    </nc>
  </rcc>
  <rcc rId="1270" sId="6">
    <oc r="B34" t="inlineStr">
      <is>
        <t>29.4</t>
      </is>
    </oc>
    <nc r="B34" t="inlineStr">
      <is>
        <t>28.4</t>
      </is>
    </nc>
  </rcc>
  <rcc rId="1271" sId="6">
    <oc r="B42">
      <v>31</v>
    </oc>
    <nc r="B42">
      <v>30</v>
    </nc>
  </rcc>
  <rcc rId="1272" sId="6">
    <oc r="B43">
      <v>33</v>
    </oc>
    <nc r="B43">
      <v>32</v>
    </nc>
  </rcc>
  <rcc rId="1273" sId="6">
    <oc r="B44">
      <v>34</v>
    </oc>
    <nc r="B44">
      <v>33</v>
    </nc>
  </rcc>
  <rcc rId="1274" sId="6">
    <oc r="B45">
      <v>37</v>
    </oc>
    <nc r="B45">
      <v>36</v>
    </nc>
  </rcc>
  <rcc rId="1275" sId="6">
    <oc r="B46" t="inlineStr">
      <is>
        <t>15.2</t>
      </is>
    </oc>
    <nc r="B46" t="inlineStr">
      <is>
        <t>14.2</t>
      </is>
    </nc>
  </rcc>
  <rcc rId="1276" sId="6">
    <oc r="B47">
      <v>41</v>
    </oc>
    <nc r="B47">
      <v>40</v>
    </nc>
  </rcc>
  <rcc rId="1277" sId="6">
    <oc r="B50">
      <v>31</v>
    </oc>
    <nc r="B50">
      <v>30</v>
    </nc>
  </rcc>
  <rcc rId="1278" sId="6">
    <oc r="B51">
      <v>32</v>
    </oc>
    <nc r="B51">
      <v>31</v>
    </nc>
  </rcc>
  <rcc rId="1279" sId="6">
    <oc r="B54">
      <v>33</v>
    </oc>
    <nc r="B54">
      <v>32</v>
    </nc>
  </rcc>
  <rcc rId="1280" sId="6">
    <oc r="B55">
      <v>35</v>
    </oc>
    <nc r="B55">
      <v>34</v>
    </nc>
  </rcc>
  <rcc rId="1281" sId="6">
    <oc r="B56">
      <v>36</v>
    </oc>
    <nc r="B56">
      <v>35</v>
    </nc>
  </rcc>
  <rcc rId="1282" sId="6">
    <oc r="B57">
      <v>37</v>
    </oc>
    <nc r="B57">
      <v>36</v>
    </nc>
  </rcc>
  <rcc rId="1283" sId="6">
    <oc r="B58">
      <v>38</v>
    </oc>
    <nc r="B58">
      <v>37</v>
    </nc>
  </rcc>
  <rcc rId="1284" sId="6">
    <oc r="B60">
      <v>39</v>
    </oc>
    <nc r="B60">
      <v>38</v>
    </nc>
  </rcc>
  <rcc rId="1285" sId="6" numFmtId="4">
    <oc r="C42">
      <v>7754327</v>
    </oc>
    <nc r="C42">
      <v>7397598</v>
    </nc>
  </rcc>
  <rcc rId="1286" sId="6" numFmtId="4">
    <oc r="C43">
      <v>1767471</v>
    </oc>
    <nc r="C43">
      <v>1779311</v>
    </nc>
  </rcc>
  <rcc rId="1287" sId="6" numFmtId="4">
    <oc r="C44">
      <v>442561</v>
    </oc>
    <nc r="C44">
      <v>442299</v>
    </nc>
  </rcc>
  <rcc rId="1288" sId="6" numFmtId="4">
    <oc r="C45">
      <v>642503</v>
    </oc>
    <nc r="C45">
      <v>628699</v>
    </nc>
  </rcc>
  <rcc rId="1289" sId="6" numFmtId="4">
    <oc r="C46">
      <v>732661</v>
    </oc>
    <nc r="C46">
      <v>692020</v>
    </nc>
  </rcc>
  <rcc rId="1290" sId="6" numFmtId="4">
    <oc r="C47">
      <v>47787</v>
    </oc>
    <nc r="C47">
      <v>49388</v>
    </nc>
  </rcc>
  <rcc rId="1291" sId="6" numFmtId="4">
    <oc r="C48">
      <v>11387310</v>
    </oc>
    <nc r="C48">
      <v>10989315</v>
    </nc>
  </rcc>
  <rcc rId="1292" sId="6" numFmtId="4">
    <oc r="C50">
      <v>1070720</v>
    </oc>
    <nc r="C50">
      <v>1133015</v>
    </nc>
  </rcc>
  <rcc rId="1293" sId="6" numFmtId="4">
    <oc r="C51">
      <v>125840</v>
    </oc>
    <nc r="C51">
      <v>105449</v>
    </nc>
  </rcc>
  <rcc rId="1294" sId="6" numFmtId="4">
    <oc r="C52">
      <v>694023</v>
    </oc>
    <nc r="C52">
      <v>615200</v>
    </nc>
  </rcc>
  <rcc rId="1295" sId="6" numFmtId="4">
    <oc r="C53">
      <v>368703</v>
    </oc>
    <nc r="C53">
      <v>484991</v>
    </nc>
  </rcc>
  <rcc rId="1296" sId="6" numFmtId="4">
    <oc r="C54">
      <v>146575</v>
    </oc>
    <nc r="C54">
      <v>133730</v>
    </nc>
  </rcc>
  <rcc rId="1297" sId="6" numFmtId="4">
    <oc r="C55">
      <v>508587</v>
    </oc>
    <nc r="C55">
      <v>790641</v>
    </nc>
  </rcc>
  <rcc rId="1298" sId="6" numFmtId="4">
    <oc r="C56">
      <v>198189</v>
    </oc>
    <nc r="C56">
      <v>201121</v>
    </nc>
  </rcc>
  <rcc rId="1299" sId="6" numFmtId="4">
    <oc r="C57">
      <v>304205</v>
    </oc>
    <nc r="C57">
      <v>333967</v>
    </nc>
  </rcc>
  <rcc rId="1300" sId="6" numFmtId="4">
    <oc r="C58">
      <v>286637</v>
    </oc>
    <nc r="C58">
      <v>301060</v>
    </nc>
  </rcc>
  <rcc rId="1301" sId="6" numFmtId="4">
    <oc r="C59">
      <v>182643</v>
    </oc>
    <nc r="C59">
      <v>159372</v>
    </nc>
  </rcc>
  <rcc rId="1302" sId="6" numFmtId="4">
    <oc r="C60">
      <v>304267</v>
    </oc>
    <nc r="C60">
      <v>288306</v>
    </nc>
  </rcc>
  <rcc rId="1303" sId="6" numFmtId="4">
    <oc r="C61">
      <v>4190389</v>
    </oc>
    <nc r="C61">
      <v>4546852</v>
    </nc>
  </rcc>
  <rcc rId="1304" sId="6" numFmtId="4">
    <oc r="C63">
      <v>15577699</v>
    </oc>
    <nc r="C63">
      <v>15536167</v>
    </nc>
  </rcc>
  <rcc rId="1305" sId="6" numFmtId="4">
    <oc r="C65">
      <v>31661822</v>
    </oc>
    <nc r="C65">
      <v>31913686</v>
    </nc>
  </rcc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7" sId="1" numFmtId="4">
    <nc r="I19">
      <v>1.73</v>
    </nc>
  </rcc>
  <rcc rId="1678" sId="1" numFmtId="4">
    <nc r="I20">
      <v>4</v>
    </nc>
  </rcc>
  <rfmt sheetId="1" sqref="K19" start="0" length="0">
    <dxf>
      <border outline="0">
        <top/>
      </border>
    </dxf>
  </rfmt>
  <rcc rId="1679" sId="1" odxf="1" dxf="1" numFmtId="4">
    <nc r="K20">
      <v>5.0400000000000009</v>
    </nc>
    <odxf>
      <numFmt numFmtId="2" formatCode="0.00"/>
    </odxf>
    <ndxf>
      <numFmt numFmtId="4" formatCode="#,##0.00"/>
    </ndxf>
  </rcc>
  <rfmt sheetId="1" sqref="F19" start="0" length="0">
    <dxf>
      <border outline="0">
        <top style="thin">
          <color rgb="FF949494"/>
        </top>
      </border>
    </dxf>
  </rfmt>
  <rcc rId="1680" sId="1" odxf="1" dxf="1" numFmtId="4">
    <nc r="K19">
      <v>1.4400000000000004</v>
    </nc>
    <ndxf>
      <border outline="0">
        <top style="thin">
          <color rgb="FF949494"/>
        </top>
      </border>
    </ndxf>
  </rcc>
  <rfmt sheetId="1" sqref="F22" start="0" length="0">
    <dxf>
      <font>
        <sz val="10"/>
        <color rgb="FF4B4B4B"/>
        <name val="Arial"/>
        <scheme val="none"/>
      </font>
      <numFmt numFmtId="4" formatCode="#,##0.00"/>
      <border outline="0">
        <bottom style="thin">
          <color rgb="FF949494"/>
        </bottom>
      </border>
    </dxf>
  </rfmt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1" sId="1" numFmtId="4">
    <nc r="I21">
      <v>12.05</v>
    </nc>
  </rcc>
  <rcc rId="1682" sId="1" odxf="1" dxf="1" numFmtId="4">
    <nc r="K21">
      <v>12.099999999999998</v>
    </nc>
    <odxf>
      <numFmt numFmtId="2" formatCode="0.00"/>
    </odxf>
    <ndxf>
      <numFmt numFmtId="4" formatCode="#,##0.00"/>
    </ndxf>
  </rcc>
  <rcc rId="1683" sId="1" numFmtId="4">
    <nc r="I22">
      <v>7.6100000000000012</v>
    </nc>
  </rcc>
  <rfmt sheetId="1" sqref="K22" start="0" length="0">
    <dxf>
      <font>
        <sz val="11"/>
        <color theme="1"/>
        <name val="Calibri"/>
        <scheme val="minor"/>
      </font>
      <numFmt numFmtId="0" formatCode="General"/>
      <border outline="0">
        <bottom/>
      </border>
    </dxf>
  </rfmt>
  <rcc rId="1684" sId="1" odxf="1" dxf="1" numFmtId="4">
    <nc r="K22">
      <v>8.44</v>
    </nc>
    <ndxf>
      <font>
        <sz val="10"/>
        <color rgb="FF4B4B4B"/>
        <name val="Arial"/>
        <scheme val="none"/>
      </font>
      <numFmt numFmtId="4" formatCode="#,##0.00"/>
      <border outline="0">
        <bottom style="thin">
          <color rgb="FF949494"/>
        </bottom>
      </border>
    </ndxf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5" sId="2" numFmtId="34">
    <oc r="D31">
      <f>189.1-33.3</f>
    </oc>
    <nc r="D31">
      <v>159</v>
    </nc>
  </rcc>
  <rcc rId="1686" sId="2" numFmtId="34">
    <oc r="C34">
      <v>142.851</v>
    </oc>
    <nc r="C34">
      <v>142.72499999999999</v>
    </nc>
  </rcc>
  <rcc rId="1687" sId="2" numFmtId="34">
    <oc r="C35">
      <f>SUM(C36:C39)</f>
    </oc>
    <nc r="C35">
      <v>200.75</v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88" sId="2">
    <oc r="C3">
      <f>C4+C5+C6</f>
    </oc>
    <nc r="C3">
      <f>C4+C5+C6</f>
    </nc>
  </rcc>
  <rcc rId="1689" sId="2">
    <oc r="D3">
      <f>321+50.6</f>
    </oc>
    <nc r="D3">
      <f>321+50.6</f>
    </nc>
  </rcc>
  <rcc rId="1690" sId="2">
    <oc r="C7">
      <f>C8+C9</f>
    </oc>
    <nc r="C7">
      <f>C8+C9</f>
    </nc>
  </rcc>
  <rcc rId="1691" sId="2">
    <oc r="C10">
      <f>C11+C12</f>
    </oc>
    <nc r="C10">
      <f>C11+C12</f>
    </nc>
  </rcc>
  <rcc rId="1692" sId="2">
    <oc r="C13">
      <f>C14+C15</f>
    </oc>
    <nc r="C13">
      <f>C14+C15</f>
    </nc>
  </rcc>
  <rcc rId="1693" sId="2">
    <oc r="C16">
      <f>C17</f>
    </oc>
    <nc r="C16">
      <f>C17</f>
    </nc>
  </rcc>
  <rcc rId="1694" sId="2">
    <oc r="C18">
      <f>C19+C20+C21</f>
    </oc>
    <nc r="C18">
      <f>C19+C20+C21</f>
    </nc>
  </rcc>
  <rcc rId="1695" sId="2">
    <oc r="C28">
      <f>C29+C30</f>
    </oc>
    <nc r="C28">
      <f>C29+C30</f>
    </nc>
  </rcc>
  <rcc rId="1696" sId="2">
    <oc r="D28">
      <f>D29+D30</f>
    </oc>
    <nc r="D28">
      <f>D29+D30</f>
    </nc>
  </rcc>
  <rcc rId="1697" sId="2" numFmtId="34">
    <oc r="D31">
      <v>159</v>
    </oc>
    <nc r="D31">
      <f>138+21</f>
    </nc>
  </rcc>
  <rcc rId="1698" sId="2" numFmtId="34">
    <oc r="C35">
      <v>200.75</v>
    </oc>
    <nc r="C35">
      <f>SUM(C36:C39)</f>
    </nc>
  </rcc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699" sId="3" ref="C1:L1048576" action="insertCol"/>
  <rfmt sheetId="3" sqref="C1" start="0" length="0">
    <dxf>
      <font>
        <sz val="16"/>
        <color rgb="FF4B4B4B"/>
        <name val="Arial"/>
        <scheme val="none"/>
      </font>
      <alignment horizontal="left" vertical="center" indent="1" readingOrder="0"/>
    </dxf>
  </rfmt>
  <rfmt sheetId="3" sqref="D1" start="0" length="0">
    <dxf>
      <font>
        <sz val="16"/>
        <color rgb="FF4B4B4B"/>
        <name val="Arial"/>
        <scheme val="none"/>
      </font>
      <alignment horizontal="left" vertical="center" indent="1" readingOrder="0"/>
    </dxf>
  </rfmt>
  <rfmt sheetId="3" sqref="E1" start="0" length="0">
    <dxf>
      <font>
        <sz val="16"/>
        <color rgb="FF4B4B4B"/>
        <name val="Arial"/>
        <scheme val="none"/>
      </font>
      <alignment horizontal="left" vertical="center" indent="1" readingOrder="0"/>
    </dxf>
  </rfmt>
  <rfmt sheetId="3" sqref="F1" start="0" length="0">
    <dxf>
      <font>
        <sz val="16"/>
        <color rgb="FF4B4B4B"/>
        <name val="Arial"/>
        <scheme val="none"/>
      </font>
      <alignment horizontal="left" vertical="center" indent="1" readingOrder="0"/>
    </dxf>
  </rfmt>
  <rfmt sheetId="3" sqref="H1" start="0" length="0">
    <dxf>
      <font>
        <sz val="16"/>
        <color rgb="FF4B4B4B"/>
        <name val="Arial"/>
        <scheme val="none"/>
      </font>
      <alignment horizontal="left" vertical="center" indent="1" readingOrder="0"/>
      <border outline="0">
        <bottom style="thin">
          <color rgb="FFE2007A"/>
        </bottom>
      </border>
    </dxf>
  </rfmt>
  <rfmt sheetId="3" sqref="I1" start="0" length="0">
    <dxf>
      <font>
        <sz val="16"/>
        <color rgb="FF4B4B4B"/>
        <name val="Arial"/>
        <scheme val="none"/>
      </font>
      <alignment horizontal="left" vertical="center" indent="1" readingOrder="0"/>
      <border outline="0">
        <bottom style="thin">
          <color rgb="FFE2007A"/>
        </bottom>
      </border>
    </dxf>
  </rfmt>
  <rfmt sheetId="3" sqref="J1" start="0" length="0">
    <dxf>
      <font>
        <sz val="16"/>
        <color rgb="FF4B4B4B"/>
        <name val="Arial"/>
        <scheme val="none"/>
      </font>
      <alignment horizontal="left" vertical="center" indent="1" readingOrder="0"/>
      <border outline="0">
        <bottom style="thin">
          <color rgb="FFE2007A"/>
        </bottom>
      </border>
    </dxf>
  </rfmt>
  <rfmt sheetId="3" sqref="K1" start="0" length="0">
    <dxf>
      <font>
        <sz val="16"/>
        <color rgb="FF4B4B4B"/>
        <name val="Arial"/>
        <scheme val="none"/>
      </font>
      <alignment horizontal="left" vertical="center" indent="1" readingOrder="0"/>
      <border outline="0">
        <bottom style="thin">
          <color rgb="FFE2007A"/>
        </bottom>
      </border>
    </dxf>
  </rfmt>
  <rfmt sheetId="3" sqref="C2" start="0" length="0">
    <dxf>
      <font>
        <sz val="10"/>
        <color rgb="FF4B4B4B"/>
        <name val="Arial"/>
        <scheme val="none"/>
      </font>
      <alignment horizontal="center" vertical="center" wrapText="1" readingOrder="0"/>
      <border outline="0">
        <top style="thin">
          <color rgb="FFE2007A"/>
        </top>
        <bottom style="thin">
          <color theme="0" tint="-0.499984740745262"/>
        </bottom>
      </border>
    </dxf>
  </rfmt>
  <rfmt sheetId="3" sqref="D2" start="0" length="0">
    <dxf>
      <font>
        <sz val="10"/>
        <color rgb="FF4B4B4B"/>
        <name val="Arial"/>
        <scheme val="none"/>
      </font>
      <alignment horizontal="center" vertical="center" wrapText="1" readingOrder="0"/>
      <border outline="0">
        <top style="thin">
          <color rgb="FFE2007A"/>
        </top>
        <bottom style="thin">
          <color theme="0" tint="-0.499984740745262"/>
        </bottom>
      </border>
    </dxf>
  </rfmt>
  <rfmt sheetId="3" sqref="E2" start="0" length="0">
    <dxf>
      <font>
        <sz val="10"/>
        <color rgb="FF4B4B4B"/>
        <name val="Arial"/>
        <scheme val="none"/>
      </font>
      <alignment horizontal="center" vertical="center" wrapText="1" readingOrder="0"/>
      <border outline="0">
        <top style="thin">
          <color rgb="FFE2007A"/>
        </top>
        <bottom style="thin">
          <color theme="0" tint="-0.499984740745262"/>
        </bottom>
      </border>
    </dxf>
  </rfmt>
  <rfmt sheetId="3" sqref="F2" start="0" length="0">
    <dxf>
      <font>
        <sz val="10"/>
        <color rgb="FF4B4B4B"/>
        <name val="Arial"/>
        <scheme val="none"/>
      </font>
      <alignment horizontal="center" vertical="center" wrapText="1" readingOrder="0"/>
      <border outline="0">
        <top style="thin">
          <color rgb="FFE2007A"/>
        </top>
        <bottom style="thin">
          <color theme="0" tint="-0.499984740745262"/>
        </bottom>
      </border>
    </dxf>
  </rfmt>
  <rfmt sheetId="3" sqref="H2" start="0" length="0">
    <dxf>
      <font>
        <sz val="10"/>
        <color rgb="FF4B4B4B"/>
        <name val="Arial"/>
        <scheme val="none"/>
      </font>
      <alignment horizontal="center" vertical="center" wrapText="1" readingOrder="0"/>
      <border outline="0">
        <top style="thin">
          <color rgb="FFE2007A"/>
        </top>
        <bottom style="thin">
          <color theme="0" tint="-0.499984740745262"/>
        </bottom>
      </border>
    </dxf>
  </rfmt>
  <rfmt sheetId="3" sqref="I2" start="0" length="0">
    <dxf>
      <font>
        <sz val="10"/>
        <color rgb="FF4B4B4B"/>
        <name val="Arial"/>
        <scheme val="none"/>
      </font>
      <alignment horizontal="center" vertical="center" wrapText="1" readingOrder="0"/>
      <border outline="0">
        <top style="thin">
          <color rgb="FFE2007A"/>
        </top>
        <bottom style="thin">
          <color theme="0" tint="-0.499984740745262"/>
        </bottom>
      </border>
    </dxf>
  </rfmt>
  <rfmt sheetId="3" sqref="J2" start="0" length="0">
    <dxf>
      <font>
        <sz val="10"/>
        <color rgb="FF4B4B4B"/>
        <name val="Arial"/>
        <scheme val="none"/>
      </font>
      <alignment horizontal="center" vertical="center" wrapText="1" readingOrder="0"/>
      <border outline="0">
        <top style="thin">
          <color rgb="FFE2007A"/>
        </top>
        <bottom style="thin">
          <color theme="0" tint="-0.499984740745262"/>
        </bottom>
      </border>
    </dxf>
  </rfmt>
  <rfmt sheetId="3" sqref="K2" start="0" length="0">
    <dxf>
      <font>
        <sz val="10"/>
        <color rgb="FF4B4B4B"/>
        <name val="Arial"/>
        <scheme val="none"/>
      </font>
      <alignment horizontal="center" vertical="center" wrapText="1" readingOrder="0"/>
      <border outline="0">
        <top style="thin">
          <color rgb="FFE2007A"/>
        </top>
        <bottom style="thin">
          <color theme="0" tint="-0.499984740745262"/>
        </bottom>
      </border>
    </dxf>
  </rfmt>
  <rcc rId="1700" sId="3" odxf="1" s="1" dxf="1" numFmtId="4">
    <nc r="C3">
      <v>512132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b/>
        <sz val="10"/>
        <color rgb="FF4B4B4B"/>
        <name val="Arial"/>
        <scheme val="none"/>
      </font>
      <numFmt numFmtId="164" formatCode="#,##0_);[Red]\(#,##0\)"/>
    </ndxf>
  </rcc>
  <rcc rId="1701" sId="3" odxf="1" s="1" dxf="1" numFmtId="4">
    <nc r="D3">
      <v>-169248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b/>
        <sz val="10"/>
        <color rgb="FF4B4B4B"/>
        <name val="Arial"/>
        <scheme val="none"/>
      </font>
      <numFmt numFmtId="164" formatCode="#,##0_);[Red]\(#,##0\)"/>
    </ndxf>
  </rcc>
  <rcc rId="1702" sId="3" odxf="1" s="1" dxf="1" numFmtId="4">
    <nc r="E3">
      <v>-230536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b/>
        <sz val="10"/>
        <color rgb="FF4B4B4B"/>
        <name val="Arial"/>
        <scheme val="none"/>
      </font>
      <numFmt numFmtId="164" formatCode="#,##0_);[Red]\(#,##0\)"/>
    </ndxf>
  </rcc>
  <rcc rId="1703" sId="3" odxf="1" s="1" dxf="1" numFmtId="4">
    <nc r="F3">
      <v>1954277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b/>
        <sz val="10"/>
        <color rgb="FF4B4B4B"/>
        <name val="Arial"/>
        <scheme val="none"/>
      </font>
      <numFmt numFmtId="164" formatCode="#,##0_);[Red]\(#,##0\)"/>
    </ndxf>
  </rcc>
  <rcc rId="1704" sId="3" odxf="1" s="1" dxf="1" numFmtId="4">
    <nc r="H3">
      <v>257978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b/>
        <sz val="10"/>
        <color rgb="FF4B4B4B"/>
        <name val="Arial"/>
        <scheme val="none"/>
      </font>
      <numFmt numFmtId="164" formatCode="#,##0_);[Red]\(#,##0\)"/>
    </ndxf>
  </rcc>
  <rcc rId="1705" sId="3" odxf="1" s="1" dxf="1" numFmtId="4">
    <nc r="I3">
      <v>-104490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b/>
        <sz val="10"/>
        <color rgb="FF4B4B4B"/>
        <name val="Arial"/>
        <scheme val="none"/>
      </font>
      <numFmt numFmtId="164" formatCode="#,##0_);[Red]\(#,##0\)"/>
    </ndxf>
  </rcc>
  <rcc rId="1706" sId="3" odxf="1" s="1" dxf="1" numFmtId="4">
    <nc r="J3">
      <v>-127029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b/>
        <sz val="10"/>
        <color rgb="FF4B4B4B"/>
        <name val="Arial"/>
        <scheme val="none"/>
      </font>
      <numFmt numFmtId="164" formatCode="#,##0_);[Red]\(#,##0\)"/>
    </ndxf>
  </rcc>
  <rcc rId="1707" sId="3" odxf="1" s="1" dxf="1" numFmtId="4">
    <nc r="K3">
      <v>1954277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b/>
        <sz val="10"/>
        <color rgb="FF4B4B4B"/>
        <name val="Arial"/>
        <scheme val="none"/>
      </font>
      <numFmt numFmtId="164" formatCode="#,##0_);[Red]\(#,##0\)"/>
    </ndxf>
  </rcc>
  <rcc rId="1708" sId="3" odxf="1" s="1" dxf="1" numFmtId="4">
    <nc r="C4">
      <v>2342634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b/>
        <sz val="10"/>
        <color rgb="FF4B4B4B"/>
        <name val="Arial"/>
        <scheme val="none"/>
      </font>
      <numFmt numFmtId="164" formatCode="#,##0_);[Red]\(#,##0\)"/>
    </ndxf>
  </rcc>
  <rcc rId="1709" sId="3" odxf="1" s="1" dxf="1" numFmtId="4">
    <nc r="D4">
      <v>353961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b/>
        <sz val="10"/>
        <color rgb="FF4B4B4B"/>
        <name val="Arial"/>
        <scheme val="none"/>
      </font>
      <numFmt numFmtId="164" formatCode="#,##0_);[Red]\(#,##0\)"/>
    </ndxf>
  </rcc>
  <rcc rId="1710" sId="3" odxf="1" s="1" dxf="1" numFmtId="4">
    <nc r="E4">
      <v>-558311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b/>
        <sz val="10"/>
        <color rgb="FF4B4B4B"/>
        <name val="Arial"/>
        <scheme val="none"/>
      </font>
      <numFmt numFmtId="164" formatCode="#,##0_);[Red]\(#,##0\)"/>
    </ndxf>
  </rcc>
  <rcc rId="1711" sId="3" odxf="1" s="1" dxf="1" numFmtId="4">
    <nc r="F4">
      <v>10151833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b/>
        <sz val="10"/>
        <color rgb="FF4B4B4B"/>
        <name val="Arial"/>
        <scheme val="none"/>
      </font>
      <numFmt numFmtId="164" formatCode="#,##0_);[Red]\(#,##0\)"/>
    </ndxf>
  </rcc>
  <rcc rId="1712" sId="3" odxf="1" s="1" dxf="1" numFmtId="4">
    <nc r="H4">
      <v>1070810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b/>
        <sz val="10"/>
        <color rgb="FF4B4B4B"/>
        <name val="Arial"/>
        <scheme val="none"/>
      </font>
      <numFmt numFmtId="164" formatCode="#,##0_);[Red]\(#,##0\)"/>
    </ndxf>
  </rcc>
  <rcc rId="1713" sId="3" odxf="1" s="1" dxf="1" numFmtId="4">
    <nc r="I4">
      <v>162812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b/>
        <sz val="10"/>
        <color rgb="FF4B4B4B"/>
        <name val="Arial"/>
        <scheme val="none"/>
      </font>
      <numFmt numFmtId="164" formatCode="#,##0_);[Red]\(#,##0\)"/>
    </ndxf>
  </rcc>
  <rcc rId="1714" sId="3" odxf="1" s="1" dxf="1" numFmtId="4">
    <nc r="J4">
      <v>-647533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b/>
        <sz val="10"/>
        <color rgb="FF4B4B4B"/>
        <name val="Arial"/>
        <scheme val="none"/>
      </font>
      <numFmt numFmtId="164" formatCode="#,##0_);[Red]\(#,##0\)"/>
    </ndxf>
  </rcc>
  <rcc rId="1715" sId="3" odxf="1" s="1" dxf="1" numFmtId="4">
    <nc r="K4">
      <v>10151833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b/>
        <sz val="10"/>
        <color rgb="FF4B4B4B"/>
        <name val="Arial"/>
        <scheme val="none"/>
      </font>
      <numFmt numFmtId="164" formatCode="#,##0_);[Red]\(#,##0\)"/>
    </ndxf>
  </rcc>
  <rcc rId="1716" sId="3" odxf="1" s="1" dxf="1" numFmtId="4">
    <nc r="C5">
      <v>3144506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b/>
        <sz val="10"/>
        <color rgb="FF4B4B4B"/>
        <name val="Arial"/>
        <scheme val="none"/>
      </font>
      <numFmt numFmtId="164" formatCode="#,##0_);[Red]\(#,##0\)"/>
    </ndxf>
  </rcc>
  <rcc rId="1717" sId="3" odxf="1" s="1" dxf="1" numFmtId="4">
    <nc r="D5">
      <v>1147597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b/>
        <sz val="10"/>
        <color rgb="FF4B4B4B"/>
        <name val="Arial"/>
        <scheme val="none"/>
      </font>
      <numFmt numFmtId="164" formatCode="#,##0_);[Red]\(#,##0\)"/>
    </ndxf>
  </rcc>
  <rcc rId="1718" sId="3" odxf="1" s="1" dxf="1" numFmtId="4">
    <nc r="E5">
      <v>643524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b/>
        <sz val="10"/>
        <color rgb="FF4B4B4B"/>
        <name val="Arial"/>
        <scheme val="none"/>
      </font>
      <numFmt numFmtId="164" formatCode="#,##0_);[Red]\(#,##0\)"/>
    </ndxf>
  </rcc>
  <rcc rId="1719" sId="3" odxf="1" s="1" dxf="1" numFmtId="4">
    <nc r="F5">
      <v>16152899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b/>
        <sz val="10"/>
        <color rgb="FF4B4B4B"/>
        <name val="Arial"/>
        <scheme val="none"/>
      </font>
      <numFmt numFmtId="164" formatCode="#,##0_);[Red]\(#,##0\)"/>
    </ndxf>
  </rcc>
  <rcc rId="1720" sId="3" odxf="1" s="1" dxf="1" numFmtId="4">
    <nc r="H5">
      <v>1528119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b/>
        <sz val="10"/>
        <color rgb="FF4B4B4B"/>
        <name val="Arial"/>
        <scheme val="none"/>
      </font>
      <numFmt numFmtId="164" formatCode="#,##0_);[Red]\(#,##0\)"/>
    </ndxf>
  </rcc>
  <rcc rId="1721" sId="3" odxf="1" s="1" dxf="1" numFmtId="4">
    <nc r="I5">
      <v>604338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b/>
        <sz val="10"/>
        <color rgb="FF4B4B4B"/>
        <name val="Arial"/>
        <scheme val="none"/>
      </font>
      <numFmt numFmtId="164" formatCode="#,##0_);[Red]\(#,##0\)"/>
    </ndxf>
  </rcc>
  <rcc rId="1722" sId="3" odxf="1" s="1" dxf="1" numFmtId="4">
    <nc r="J5">
      <v>351932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b/>
        <sz val="10"/>
        <color rgb="FF4B4B4B"/>
        <name val="Arial"/>
        <scheme val="none"/>
      </font>
      <numFmt numFmtId="164" formatCode="#,##0_);[Red]\(#,##0\)"/>
    </ndxf>
  </rcc>
  <rcc rId="1723" sId="3" odxf="1" s="1" dxf="1" numFmtId="4">
    <nc r="K5">
      <v>16152899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b/>
        <sz val="10"/>
        <color rgb="FF4B4B4B"/>
        <name val="Arial"/>
        <scheme val="none"/>
      </font>
      <numFmt numFmtId="164" formatCode="#,##0_);[Red]\(#,##0\)"/>
    </ndxf>
  </rcc>
  <rcc rId="1724" sId="3" odxf="1" s="1" dxf="1" numFmtId="4">
    <nc r="C6">
      <v>6987186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b/>
        <sz val="10"/>
        <color rgb="FF4B4B4B"/>
        <name val="Arial"/>
        <scheme val="none"/>
      </font>
      <numFmt numFmtId="164" formatCode="#,##0_);[Red]\(#,##0\)"/>
    </ndxf>
  </rcc>
  <rcc rId="1725" sId="3" odxf="1" s="1" dxf="1" numFmtId="4">
    <nc r="D6">
      <v>279804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b/>
        <sz val="10"/>
        <color rgb="FF4B4B4B"/>
        <name val="Arial"/>
        <scheme val="none"/>
      </font>
      <numFmt numFmtId="164" formatCode="#,##0_);[Red]\(#,##0\)"/>
    </ndxf>
  </rcc>
  <rcc rId="1726" sId="3" odxf="1" s="1" dxf="1" numFmtId="4">
    <nc r="E6">
      <v>273890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b/>
        <sz val="10"/>
        <color rgb="FF4B4B4B"/>
        <name val="Arial"/>
        <scheme val="none"/>
      </font>
      <numFmt numFmtId="164" formatCode="#,##0_);[Red]\(#,##0\)"/>
    </ndxf>
  </rcc>
  <rcc rId="1727" sId="3" odxf="1" s="1" dxf="1" numFmtId="4">
    <nc r="F6">
      <v>2310378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b/>
        <sz val="10"/>
        <color rgb="FF4B4B4B"/>
        <name val="Arial"/>
        <scheme val="none"/>
      </font>
      <numFmt numFmtId="164" formatCode="#,##0_);[Red]\(#,##0\)"/>
    </ndxf>
  </rcc>
  <rcc rId="1728" sId="3" odxf="1" s="1" dxf="1" numFmtId="4">
    <nc r="H6">
      <v>3395998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b/>
        <sz val="10"/>
        <color rgb="FF4B4B4B"/>
        <name val="Arial"/>
        <scheme val="none"/>
      </font>
      <numFmt numFmtId="164" formatCode="#,##0_);[Red]\(#,##0\)"/>
    </ndxf>
  </rcc>
  <rcc rId="1729" sId="3" odxf="1" s="1" dxf="1" numFmtId="4">
    <nc r="I6">
      <v>113042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b/>
        <sz val="10"/>
        <color rgb="FF4B4B4B"/>
        <name val="Arial"/>
        <scheme val="none"/>
      </font>
      <numFmt numFmtId="164" formatCode="#,##0_);[Red]\(#,##0\)"/>
    </ndxf>
  </rcc>
  <rcc rId="1730" sId="3" odxf="1" s="1" dxf="1" numFmtId="4">
    <nc r="J6">
      <v>113669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b/>
        <sz val="10"/>
        <color rgb="FF4B4B4B"/>
        <name val="Arial"/>
        <scheme val="none"/>
      </font>
      <numFmt numFmtId="164" formatCode="#,##0_);[Red]\(#,##0\)"/>
    </ndxf>
  </rcc>
  <rcc rId="1731" sId="3" odxf="1" s="1" dxf="1" numFmtId="4">
    <nc r="K6">
      <v>2310378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b/>
        <sz val="10"/>
        <color rgb="FF4B4B4B"/>
        <name val="Arial"/>
        <scheme val="none"/>
      </font>
      <numFmt numFmtId="164" formatCode="#,##0_);[Red]\(#,##0\)"/>
    </ndxf>
  </rcc>
  <rcc rId="1732" sId="3" odxf="1" s="1" dxf="1" numFmtId="4">
    <nc r="C7">
      <v>428843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b/>
        <sz val="10"/>
        <color rgb="FF4B4B4B"/>
        <name val="Arial"/>
        <scheme val="none"/>
      </font>
      <numFmt numFmtId="164" formatCode="#,##0_);[Red]\(#,##0\)"/>
      <border outline="0">
        <bottom style="thin">
          <color theme="0" tint="-0.499984740745262"/>
        </bottom>
      </border>
    </ndxf>
  </rcc>
  <rcc rId="1733" sId="3" odxf="1" s="1" dxf="1" numFmtId="4">
    <nc r="D7">
      <v>66036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b/>
        <sz val="10"/>
        <color rgb="FF4B4B4B"/>
        <name val="Arial"/>
        <scheme val="none"/>
      </font>
      <numFmt numFmtId="164" formatCode="#,##0_);[Red]\(#,##0\)"/>
      <border outline="0">
        <bottom style="thin">
          <color theme="0" tint="-0.499984740745262"/>
        </bottom>
      </border>
    </ndxf>
  </rcc>
  <rcc rId="1734" sId="3" odxf="1" s="1" dxf="1" numFmtId="4">
    <nc r="E7">
      <v>29822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b/>
        <sz val="10"/>
        <color rgb="FF4B4B4B"/>
        <name val="Arial"/>
        <scheme val="none"/>
      </font>
      <numFmt numFmtId="164" formatCode="#,##0_);[Red]\(#,##0\)"/>
      <border outline="0">
        <bottom style="thin">
          <color theme="0" tint="-0.499984740745262"/>
        </bottom>
      </border>
    </ndxf>
  </rcc>
  <rcc rId="1735" sId="3" odxf="1" s="1" dxf="1" numFmtId="4">
    <nc r="F7">
      <v>443449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b/>
        <sz val="10"/>
        <color rgb="FF4B4B4B"/>
        <name val="Arial"/>
        <scheme val="none"/>
      </font>
      <numFmt numFmtId="164" formatCode="#,##0_);[Red]\(#,##0\)"/>
      <border outline="0">
        <bottom style="thin">
          <color theme="0" tint="-0.499984740745262"/>
        </bottom>
      </border>
    </ndxf>
  </rcc>
  <rcc rId="1736" sId="3" odxf="1" s="1" dxf="1" numFmtId="4">
    <nc r="H7">
      <v>211401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b/>
        <sz val="10"/>
        <color rgb="FF4B4B4B"/>
        <name val="Arial"/>
        <scheme val="none"/>
      </font>
      <numFmt numFmtId="164" formatCode="#,##0_);[Red]\(#,##0\)"/>
      <border outline="0">
        <bottom style="thin">
          <color theme="0" tint="-0.499984740745262"/>
        </bottom>
      </border>
    </ndxf>
  </rcc>
  <rcc rId="1737" sId="3" odxf="1" s="1" dxf="1" numFmtId="4">
    <nc r="I7">
      <v>35550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b/>
        <sz val="10"/>
        <color rgb="FF4B4B4B"/>
        <name val="Arial"/>
        <scheme val="none"/>
      </font>
      <numFmt numFmtId="164" formatCode="#,##0_);[Red]\(#,##0\)"/>
      <border outline="0">
        <bottom style="thin">
          <color theme="0" tint="-0.499984740745262"/>
        </bottom>
      </border>
    </ndxf>
  </rcc>
  <rcc rId="1738" sId="3" odxf="1" s="1" dxf="1" numFmtId="4">
    <nc r="J7">
      <v>17383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b/>
        <sz val="10"/>
        <color rgb="FF4B4B4B"/>
        <name val="Arial"/>
        <scheme val="none"/>
      </font>
      <numFmt numFmtId="164" formatCode="#,##0_);[Red]\(#,##0\)"/>
      <border outline="0">
        <bottom style="thin">
          <color theme="0" tint="-0.499984740745262"/>
        </bottom>
      </border>
    </ndxf>
  </rcc>
  <rcc rId="1739" sId="3" odxf="1" s="1" dxf="1" numFmtId="4">
    <nc r="K7">
      <v>443449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b/>
        <sz val="10"/>
        <color rgb="FF4B4B4B"/>
        <name val="Arial"/>
        <scheme val="none"/>
      </font>
      <numFmt numFmtId="164" formatCode="#,##0_);[Red]\(#,##0\)"/>
      <border outline="0">
        <bottom style="thin">
          <color theme="0" tint="-0.499984740745262"/>
        </bottom>
      </border>
    </ndxf>
  </rcc>
  <rfmt sheetId="3" sqref="C10" start="0" length="0">
    <dxf>
      <font>
        <sz val="10"/>
        <color rgb="FF4B4B4B"/>
        <name val="Arial"/>
        <scheme val="none"/>
      </font>
      <alignment horizontal="center" vertical="center" wrapText="1" readingOrder="0"/>
      <border outline="0">
        <top style="thin">
          <color rgb="FFE2007A"/>
        </top>
        <bottom style="thin">
          <color theme="0" tint="-0.499984740745262"/>
        </bottom>
      </border>
    </dxf>
  </rfmt>
  <rfmt sheetId="3" sqref="D10" start="0" length="0">
    <dxf>
      <font>
        <sz val="10"/>
        <color rgb="FF4B4B4B"/>
        <name val="Arial"/>
        <scheme val="none"/>
      </font>
      <alignment horizontal="center" vertical="center" wrapText="1" readingOrder="0"/>
      <border outline="0">
        <top style="thin">
          <color rgb="FFE2007A"/>
        </top>
        <bottom style="thin">
          <color theme="0" tint="-0.499984740745262"/>
        </bottom>
      </border>
    </dxf>
  </rfmt>
  <rfmt sheetId="3" sqref="E10" start="0" length="0">
    <dxf>
      <font>
        <sz val="10"/>
        <color rgb="FF4B4B4B"/>
        <name val="Arial"/>
        <scheme val="none"/>
      </font>
      <alignment horizontal="center" vertical="center" wrapText="1" readingOrder="0"/>
      <border outline="0">
        <top style="thin">
          <color rgb="FFE2007A"/>
        </top>
        <bottom style="thin">
          <color theme="0" tint="-0.499984740745262"/>
        </bottom>
      </border>
    </dxf>
  </rfmt>
  <rfmt sheetId="3" sqref="F10" start="0" length="0">
    <dxf>
      <font>
        <sz val="10"/>
        <color rgb="FF4B4B4B"/>
        <name val="Arial"/>
        <scheme val="none"/>
      </font>
      <alignment horizontal="center" vertical="center" wrapText="1" readingOrder="0"/>
      <border outline="0">
        <top style="thin">
          <color rgb="FFE2007A"/>
        </top>
        <bottom style="thin">
          <color theme="0" tint="-0.499984740745262"/>
        </bottom>
      </border>
    </dxf>
  </rfmt>
  <rfmt sheetId="3" sqref="H10" start="0" length="0">
    <dxf>
      <font>
        <sz val="10"/>
        <color rgb="FF4B4B4B"/>
        <name val="Arial"/>
        <scheme val="none"/>
      </font>
      <alignment horizontal="center" vertical="center" wrapText="1" readingOrder="0"/>
      <border outline="0">
        <top style="thin">
          <color rgb="FFE2007A"/>
        </top>
        <bottom style="thin">
          <color theme="0" tint="-0.499984740745262"/>
        </bottom>
      </border>
    </dxf>
  </rfmt>
  <rfmt sheetId="3" sqref="I10" start="0" length="0">
    <dxf>
      <font>
        <sz val="10"/>
        <color rgb="FF4B4B4B"/>
        <name val="Arial"/>
        <scheme val="none"/>
      </font>
      <alignment horizontal="center" vertical="center" wrapText="1" readingOrder="0"/>
      <border outline="0">
        <top style="thin">
          <color rgb="FFE2007A"/>
        </top>
        <bottom style="thin">
          <color theme="0" tint="-0.499984740745262"/>
        </bottom>
      </border>
    </dxf>
  </rfmt>
  <rfmt sheetId="3" sqref="J10" start="0" length="0">
    <dxf>
      <font>
        <sz val="10"/>
        <color rgb="FF4B4B4B"/>
        <name val="Arial"/>
        <scheme val="none"/>
      </font>
      <alignment horizontal="center" vertical="center" wrapText="1" readingOrder="0"/>
      <border outline="0">
        <top style="thin">
          <color rgb="FFE2007A"/>
        </top>
        <bottom style="thin">
          <color theme="0" tint="-0.499984740745262"/>
        </bottom>
      </border>
    </dxf>
  </rfmt>
  <rfmt sheetId="3" sqref="K10" start="0" length="0">
    <dxf>
      <font>
        <sz val="10"/>
        <color rgb="FF4B4B4B"/>
        <name val="Arial"/>
        <scheme val="none"/>
      </font>
      <alignment horizontal="center" vertical="center" wrapText="1" readingOrder="0"/>
      <border outline="0">
        <top style="thin">
          <color rgb="FFE2007A"/>
        </top>
        <bottom style="thin">
          <color theme="0" tint="-0.499984740745262"/>
        </bottom>
      </border>
    </dxf>
  </rfmt>
  <rcc rId="1740" sId="3" odxf="1" s="1" dxf="1" numFmtId="4">
    <nc r="C11">
      <v>541951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sz val="10"/>
        <color rgb="FF4B4B4B"/>
        <name val="Arial"/>
        <scheme val="none"/>
      </font>
      <numFmt numFmtId="164" formatCode="#,##0_);[Red]\(#,##0\)"/>
    </ndxf>
  </rcc>
  <rcc rId="1741" sId="3" odxf="1" s="1" dxf="1" numFmtId="4">
    <nc r="D11">
      <v>-157902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sz val="10"/>
        <color rgb="FF4B4B4B"/>
        <name val="Arial"/>
        <scheme val="none"/>
      </font>
      <numFmt numFmtId="164" formatCode="#,##0_);[Red]\(#,##0\)"/>
    </ndxf>
  </rcc>
  <rcc rId="1742" sId="3" odxf="1" s="1" dxf="1" numFmtId="4">
    <nc r="E11">
      <v>-214265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sz val="10"/>
        <color rgb="FF4B4B4B"/>
        <name val="Arial"/>
        <scheme val="none"/>
      </font>
      <numFmt numFmtId="164" formatCode="#,##0_);[Red]\(#,##0\)"/>
    </ndxf>
  </rcc>
  <rcc rId="1743" sId="3" odxf="1" s="1" dxf="1" numFmtId="4">
    <nc r="F11">
      <v>1657407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sz val="10"/>
        <color rgb="FF4B4B4B"/>
        <name val="Arial"/>
        <scheme val="none"/>
      </font>
      <numFmt numFmtId="164" formatCode="#,##0_);[Red]\(#,##0\)"/>
    </ndxf>
  </rcc>
  <rcc rId="1744" sId="3" odxf="1" s="1" dxf="1" numFmtId="4">
    <nc r="H11">
      <v>273192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sz val="10"/>
        <color rgb="FF4B4B4B"/>
        <name val="Arial"/>
        <scheme val="none"/>
      </font>
      <numFmt numFmtId="164" formatCode="#,##0_);[Red]\(#,##0\)"/>
    </ndxf>
  </rcc>
  <rcc rId="1745" sId="3" odxf="1" s="1" dxf="1" numFmtId="4">
    <nc r="I11">
      <v>-113811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sz val="10"/>
        <color rgb="FF4B4B4B"/>
        <name val="Arial"/>
        <scheme val="none"/>
      </font>
      <numFmt numFmtId="164" formatCode="#,##0_);[Red]\(#,##0\)"/>
    </ndxf>
  </rcc>
  <rcc rId="1746" sId="3" odxf="1" s="1" dxf="1" numFmtId="4">
    <nc r="J11">
      <v>-142220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sz val="10"/>
        <color rgb="FF4B4B4B"/>
        <name val="Arial"/>
        <scheme val="none"/>
      </font>
      <numFmt numFmtId="164" formatCode="#,##0_);[Red]\(#,##0\)"/>
    </ndxf>
  </rcc>
  <rcc rId="1747" sId="3" odxf="1" s="1" dxf="1" numFmtId="4">
    <nc r="K11">
      <v>1657407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sz val="10"/>
        <color rgb="FF4B4B4B"/>
        <name val="Arial"/>
        <scheme val="none"/>
      </font>
      <numFmt numFmtId="164" formatCode="#,##0_);[Red]\(#,##0\)"/>
    </ndxf>
  </rcc>
  <rcc rId="1748" sId="3" odxf="1" s="1" dxf="1" numFmtId="4">
    <nc r="C12">
      <v>2747088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sz val="10"/>
        <color rgb="FF4B4B4B"/>
        <name val="Arial"/>
        <scheme val="none"/>
      </font>
      <numFmt numFmtId="164" formatCode="#,##0_);[Red]\(#,##0\)"/>
    </ndxf>
  </rcc>
  <rcc rId="1749" sId="3" odxf="1" s="1" dxf="1" numFmtId="4">
    <nc r="D12">
      <v>466402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sz val="10"/>
        <color rgb="FF4B4B4B"/>
        <name val="Arial"/>
        <scheme val="none"/>
      </font>
      <numFmt numFmtId="164" formatCode="#,##0_);[Red]\(#,##0\)"/>
    </ndxf>
  </rcc>
  <rcc rId="1750" sId="3" odxf="1" s="1" dxf="1" numFmtId="4">
    <nc r="E12">
      <v>181936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sz val="10"/>
        <color rgb="FF4B4B4B"/>
        <name val="Arial"/>
        <scheme val="none"/>
      </font>
      <numFmt numFmtId="164" formatCode="#,##0_);[Red]\(#,##0\)"/>
    </ndxf>
  </rcc>
  <rcc rId="1751" sId="3" odxf="1" s="1" dxf="1" numFmtId="4">
    <nc r="F12">
      <v>10788413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sz val="10"/>
        <color rgb="FF4B4B4B"/>
        <name val="Arial"/>
        <scheme val="none"/>
      </font>
      <numFmt numFmtId="164" formatCode="#,##0_);[Red]\(#,##0\)"/>
    </ndxf>
  </rcc>
  <rcc rId="1752" sId="3" odxf="1" s="1" dxf="1" numFmtId="4">
    <nc r="H12">
      <v>1184017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sz val="10"/>
        <color rgb="FF4B4B4B"/>
        <name val="Arial"/>
        <scheme val="none"/>
      </font>
      <numFmt numFmtId="164" formatCode="#,##0_);[Red]\(#,##0\)"/>
    </ndxf>
  </rcc>
  <rcc rId="1753" sId="3" odxf="1" s="1" dxf="1" numFmtId="4">
    <nc r="I12">
      <v>188031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sz val="10"/>
        <color rgb="FF4B4B4B"/>
        <name val="Arial"/>
        <scheme val="none"/>
      </font>
      <numFmt numFmtId="164" formatCode="#,##0_);[Red]\(#,##0\)"/>
    </ndxf>
  </rcc>
  <rcc rId="1754" sId="3" odxf="1" s="1" dxf="1" numFmtId="4">
    <nc r="J12">
      <v>44376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sz val="10"/>
        <color rgb="FF4B4B4B"/>
        <name val="Arial"/>
        <scheme val="none"/>
      </font>
      <numFmt numFmtId="164" formatCode="#,##0_);[Red]\(#,##0\)"/>
    </ndxf>
  </rcc>
  <rcc rId="1755" sId="3" odxf="1" s="1" dxf="1" numFmtId="4">
    <nc r="K12">
      <v>10788413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sz val="10"/>
        <color rgb="FF4B4B4B"/>
        <name val="Arial"/>
        <scheme val="none"/>
      </font>
      <numFmt numFmtId="164" formatCode="#,##0_);[Red]\(#,##0\)"/>
    </ndxf>
  </rcc>
  <rcc rId="1756" sId="3" odxf="1" s="1" dxf="1" numFmtId="4">
    <nc r="C13">
      <v>3228357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sz val="10"/>
        <color rgb="FF4B4B4B"/>
        <name val="Arial"/>
        <scheme val="none"/>
      </font>
      <numFmt numFmtId="164" formatCode="#,##0_);[Red]\(#,##0\)"/>
    </ndxf>
  </rcc>
  <rcc rId="1757" sId="3" odxf="1" s="1" dxf="1" numFmtId="4">
    <nc r="D13">
      <v>1242660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sz val="10"/>
        <color rgb="FF4B4B4B"/>
        <name val="Arial"/>
        <scheme val="none"/>
      </font>
      <numFmt numFmtId="164" formatCode="#,##0_);[Red]\(#,##0\)"/>
    </ndxf>
  </rcc>
  <rcc rId="1758" sId="3" odxf="1" s="1" dxf="1" numFmtId="4">
    <nc r="E13">
      <v>758416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sz val="10"/>
        <color rgb="FF4B4B4B"/>
        <name val="Arial"/>
        <scheme val="none"/>
      </font>
      <numFmt numFmtId="164" formatCode="#,##0_);[Red]\(#,##0\)"/>
    </ndxf>
  </rcc>
  <rcc rId="1759" sId="3" odxf="1" s="1" dxf="1" numFmtId="4">
    <nc r="F13">
      <v>15974893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sz val="10"/>
        <color rgb="FF4B4B4B"/>
        <name val="Arial"/>
        <scheme val="none"/>
      </font>
      <numFmt numFmtId="164" formatCode="#,##0_);[Red]\(#,##0\)"/>
    </ndxf>
  </rcc>
  <rcc rId="1760" sId="3" odxf="1" s="1" dxf="1" numFmtId="4">
    <nc r="H13">
      <v>1585385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sz val="10"/>
        <color rgb="FF4B4B4B"/>
        <name val="Arial"/>
        <scheme val="none"/>
      </font>
      <numFmt numFmtId="164" formatCode="#,##0_);[Red]\(#,##0\)"/>
    </ndxf>
  </rcc>
  <rcc rId="1761" sId="3" odxf="1" s="1" dxf="1" numFmtId="4">
    <nc r="I13">
      <v>696000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sz val="10"/>
        <color rgb="FF4B4B4B"/>
        <name val="Arial"/>
        <scheme val="none"/>
      </font>
      <numFmt numFmtId="164" formatCode="#,##0_);[Red]\(#,##0\)"/>
    </ndxf>
  </rcc>
  <rcc rId="1762" sId="3" odxf="1" s="1" dxf="1" numFmtId="4">
    <nc r="J13">
      <v>453363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sz val="10"/>
        <color rgb="FF4B4B4B"/>
        <name val="Arial"/>
        <scheme val="none"/>
      </font>
      <numFmt numFmtId="164" formatCode="#,##0_);[Red]\(#,##0\)"/>
    </ndxf>
  </rcc>
  <rcc rId="1763" sId="3" odxf="1" s="1" dxf="1" numFmtId="4">
    <nc r="K13">
      <v>15974893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sz val="10"/>
        <color rgb="FF4B4B4B"/>
        <name val="Arial"/>
        <scheme val="none"/>
      </font>
      <numFmt numFmtId="164" formatCode="#,##0_);[Red]\(#,##0\)"/>
    </ndxf>
  </rcc>
  <rcc rId="1764" sId="3" odxf="1" s="1" dxf="1" numFmtId="4">
    <nc r="C14">
      <v>8093980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sz val="10"/>
        <color rgb="FF4B4B4B"/>
        <name val="Arial"/>
        <scheme val="none"/>
      </font>
      <numFmt numFmtId="164" formatCode="#,##0_);[Red]\(#,##0\)"/>
    </ndxf>
  </rcc>
  <rcc rId="1765" sId="3" odxf="1" s="1" dxf="1" numFmtId="4">
    <nc r="D14">
      <v>335153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sz val="10"/>
        <color rgb="FF4B4B4B"/>
        <name val="Arial"/>
        <scheme val="none"/>
      </font>
      <numFmt numFmtId="164" formatCode="#,##0_);[Red]\(#,##0\)"/>
    </ndxf>
  </rcc>
  <rcc rId="1766" sId="3" odxf="1" s="1" dxf="1" numFmtId="4">
    <nc r="E14">
      <v>329755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sz val="10"/>
        <color rgb="FF4B4B4B"/>
        <name val="Arial"/>
        <scheme val="none"/>
      </font>
      <numFmt numFmtId="164" formatCode="#,##0_);[Red]\(#,##0\)"/>
    </ndxf>
  </rcc>
  <rcc rId="1767" sId="3" odxf="1" s="1" dxf="1" numFmtId="4">
    <nc r="F14">
      <v>2706907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sz val="10"/>
        <color rgb="FF4B4B4B"/>
        <name val="Arial"/>
        <scheme val="none"/>
      </font>
      <numFmt numFmtId="164" formatCode="#,##0_);[Red]\(#,##0\)"/>
    </ndxf>
  </rcc>
  <rcc rId="1768" sId="3" odxf="1" s="1" dxf="1" numFmtId="4">
    <nc r="H14">
      <v>3915698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sz val="10"/>
        <color rgb="FF4B4B4B"/>
        <name val="Arial"/>
        <scheme val="none"/>
      </font>
      <numFmt numFmtId="164" formatCode="#,##0_);[Red]\(#,##0\)"/>
    </ndxf>
  </rcc>
  <rcc rId="1769" sId="3" odxf="1" s="1" dxf="1" numFmtId="4">
    <nc r="I14">
      <v>141382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sz val="10"/>
        <color rgb="FF4B4B4B"/>
        <name val="Arial"/>
        <scheme val="none"/>
      </font>
      <numFmt numFmtId="164" formatCode="#,##0_);[Red]\(#,##0\)"/>
    </ndxf>
  </rcc>
  <rcc rId="1770" sId="3" odxf="1" s="1" dxf="1" numFmtId="4">
    <nc r="J14">
      <v>138710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sz val="10"/>
        <color rgb="FF4B4B4B"/>
        <name val="Arial"/>
        <scheme val="none"/>
      </font>
      <numFmt numFmtId="164" formatCode="#,##0_);[Red]\(#,##0\)"/>
    </ndxf>
  </rcc>
  <rcc rId="1771" sId="3" odxf="1" s="1" dxf="1" numFmtId="4">
    <nc r="K14">
      <v>2706907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sz val="10"/>
        <color rgb="FF4B4B4B"/>
        <name val="Arial"/>
        <scheme val="none"/>
      </font>
      <numFmt numFmtId="164" formatCode="#,##0_);[Red]\(#,##0\)"/>
    </ndxf>
  </rcc>
  <rcc rId="1772" sId="3" odxf="1" s="1" dxf="1" numFmtId="4">
    <nc r="C15">
      <v>503146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sz val="10"/>
        <color rgb="FF4B4B4B"/>
        <name val="Arial"/>
        <scheme val="none"/>
      </font>
      <numFmt numFmtId="164" formatCode="#,##0_);[Red]\(#,##0\)"/>
      <border outline="0">
        <bottom style="thin">
          <color theme="0" tint="-0.499984740745262"/>
        </bottom>
      </border>
    </ndxf>
  </rcc>
  <rcc rId="1773" sId="3" odxf="1" s="1" dxf="1" numFmtId="4">
    <nc r="D15">
      <v>60995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sz val="10"/>
        <color rgb="FF4B4B4B"/>
        <name val="Arial"/>
        <scheme val="none"/>
      </font>
      <numFmt numFmtId="164" formatCode="#,##0_);[Red]\(#,##0\)"/>
      <border outline="0">
        <bottom style="thin">
          <color theme="0" tint="-0.499984740745262"/>
        </bottom>
      </border>
    </ndxf>
  </rcc>
  <rcc rId="1774" sId="3" odxf="1" s="1" dxf="1" numFmtId="4">
    <nc r="E15">
      <v>27896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sz val="10"/>
        <color rgb="FF4B4B4B"/>
        <name val="Arial"/>
        <scheme val="none"/>
      </font>
      <numFmt numFmtId="164" formatCode="#,##0_);[Red]\(#,##0\)"/>
      <border outline="0">
        <bottom style="thin">
          <color theme="0" tint="-0.499984740745262"/>
        </bottom>
      </border>
    </ndxf>
  </rcc>
  <rcc rId="1775" sId="3" odxf="1" s="1" dxf="1" numFmtId="4">
    <nc r="F15">
      <v>478618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sz val="10"/>
        <color rgb="FF4B4B4B"/>
        <name val="Arial"/>
        <scheme val="none"/>
      </font>
      <numFmt numFmtId="164" formatCode="#,##0_);[Red]\(#,##0\)"/>
      <border outline="0">
        <bottom style="thin">
          <color theme="0" tint="-0.499984740745262"/>
        </bottom>
      </border>
    </ndxf>
  </rcc>
  <rcc rId="1776" sId="3" odxf="1" s="1" dxf="1" numFmtId="4">
    <nc r="H15">
      <v>239006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sz val="10"/>
        <color rgb="FF4B4B4B"/>
        <name val="Arial"/>
        <scheme val="none"/>
      </font>
      <numFmt numFmtId="164" formatCode="#,##0_);[Red]\(#,##0\)"/>
      <border outline="0">
        <bottom style="thin">
          <color theme="0" tint="-0.499984740745262"/>
        </bottom>
      </border>
    </ndxf>
  </rcc>
  <rcc rId="1777" sId="3" odxf="1" s="1" dxf="1" numFmtId="4">
    <nc r="I15">
      <v>17622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sz val="10"/>
        <color rgb="FF4B4B4B"/>
        <name val="Arial"/>
        <scheme val="none"/>
      </font>
      <numFmt numFmtId="164" formatCode="#,##0_);[Red]\(#,##0\)"/>
      <border outline="0">
        <bottom style="thin">
          <color theme="0" tint="-0.499984740745262"/>
        </bottom>
      </border>
    </ndxf>
  </rcc>
  <rcc rId="1778" sId="3" odxf="1" s="1" dxf="1" numFmtId="4">
    <nc r="J15">
      <v>789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sz val="10"/>
        <color rgb="FF4B4B4B"/>
        <name val="Arial"/>
        <scheme val="none"/>
      </font>
      <numFmt numFmtId="164" formatCode="#,##0_);[Red]\(#,##0\)"/>
      <border outline="0">
        <bottom style="thin">
          <color theme="0" tint="-0.499984740745262"/>
        </bottom>
      </border>
    </ndxf>
  </rcc>
  <rcc rId="1779" sId="3" odxf="1" s="1" dxf="1" numFmtId="4">
    <nc r="K15">
      <v>478618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</odxf>
    <ndxf>
      <font>
        <sz val="10"/>
        <color rgb="FF4B4B4B"/>
        <name val="Arial"/>
        <scheme val="none"/>
      </font>
      <numFmt numFmtId="164" formatCode="#,##0_);[Red]\(#,##0\)"/>
      <border outline="0">
        <bottom style="thin">
          <color theme="0" tint="-0.499984740745262"/>
        </bottom>
      </border>
    </ndxf>
  </rcc>
  <rcc rId="1780" sId="3">
    <nc r="C10" t="inlineStr">
      <is>
        <t>Przychody ze sprzedaży 
za 9M 2015 r.</t>
      </is>
    </nc>
  </rcc>
  <rcc rId="1781" sId="3">
    <nc r="D10" t="inlineStr">
      <is>
        <t>EBITDA 
za 9M 2015 r.</t>
      </is>
    </nc>
  </rcc>
  <rcc rId="1782" sId="3">
    <nc r="E10" t="inlineStr">
      <is>
        <t>EBIT 
za 9M 2015 r.</t>
      </is>
    </nc>
  </rcc>
  <rcc rId="1783" sId="3">
    <nc r="F10" t="inlineStr">
      <is>
        <t>Aktywa ogółem na dzień 
30 września 2015 r.</t>
      </is>
    </nc>
  </rcc>
  <rcc rId="1784" sId="3">
    <nc r="C2" t="inlineStr">
      <is>
        <t>Przychody ze sprzedaży 
za 9M 2016 r.</t>
      </is>
    </nc>
  </rcc>
  <rcc rId="1785" sId="3">
    <nc r="D2" t="inlineStr">
      <is>
        <t>EBITDA 
za 9M 2016 r.</t>
      </is>
    </nc>
  </rcc>
  <rcc rId="1786" sId="3">
    <nc r="E2" t="inlineStr">
      <is>
        <t>EBIT 
za 9M 2016 r.</t>
      </is>
    </nc>
  </rcc>
  <rcc rId="1787" sId="3">
    <nc r="F2" t="inlineStr">
      <is>
        <t>Aktywa ogółem na dzień 
30 września 2016 r.</t>
      </is>
    </nc>
  </rcc>
  <rcc rId="1788" sId="3">
    <nc r="H2" t="inlineStr">
      <is>
        <t>Przychody ze sprzedaży 
za III kwartał 2016 r.</t>
      </is>
    </nc>
  </rcc>
  <rcc rId="1789" sId="3">
    <nc r="I2" t="inlineStr">
      <is>
        <t>EBITDA 
za III kwartał 2016 r.</t>
      </is>
    </nc>
  </rcc>
  <rcc rId="1790" sId="3">
    <nc r="J2" t="inlineStr">
      <is>
        <t>EBIT 
za III kwartał 2016 r.</t>
      </is>
    </nc>
  </rcc>
  <rcc rId="1791" sId="3">
    <nc r="K2" t="inlineStr">
      <is>
        <t>Aktywa ogółem na dzień 
30 września 2016 r.</t>
      </is>
    </nc>
  </rcc>
  <rcc rId="1792" sId="3">
    <nc r="K10" t="inlineStr">
      <is>
        <t>Aktywa ogółem na dzień 
30 września 2015 r.</t>
      </is>
    </nc>
  </rcc>
  <rcc rId="1793" sId="3">
    <nc r="H10" t="inlineStr">
      <is>
        <t>Przychody ze sprzedaży 
za III kwartał 2015 r.</t>
      </is>
    </nc>
  </rcc>
  <rcc rId="1794" sId="3">
    <nc r="I10" t="inlineStr">
      <is>
        <t>EBITDA 
za III kwartał 2015 r.</t>
      </is>
    </nc>
  </rcc>
  <rcc rId="1795" sId="3">
    <nc r="J10" t="inlineStr">
      <is>
        <t>EBIT 
za III kwartał 2015 r.</t>
      </is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96" sId="3" numFmtId="4">
    <oc r="C3">
      <v>512132</v>
    </oc>
    <nc r="C3"/>
  </rcc>
  <rcc rId="1797" sId="3" numFmtId="4">
    <oc r="D3">
      <v>-169248</v>
    </oc>
    <nc r="D3"/>
  </rcc>
  <rcc rId="1798" sId="3" numFmtId="4">
    <oc r="E3">
      <v>-230536</v>
    </oc>
    <nc r="E3"/>
  </rcc>
  <rcc rId="1799" sId="3" numFmtId="4">
    <oc r="F3">
      <v>1954277</v>
    </oc>
    <nc r="F3"/>
  </rcc>
  <rcc rId="1800" sId="3" numFmtId="4">
    <oc r="C4">
      <v>2342634</v>
    </oc>
    <nc r="C4"/>
  </rcc>
  <rcc rId="1801" sId="3" numFmtId="4">
    <oc r="D4">
      <v>353961</v>
    </oc>
    <nc r="D4"/>
  </rcc>
  <rcc rId="1802" sId="3" numFmtId="4">
    <oc r="E4">
      <v>-558311</v>
    </oc>
    <nc r="E4"/>
  </rcc>
  <rcc rId="1803" sId="3" numFmtId="4">
    <oc r="F4">
      <v>10151833</v>
    </oc>
    <nc r="F4"/>
  </rcc>
  <rcc rId="1804" sId="3" numFmtId="4">
    <oc r="C5">
      <v>3144506</v>
    </oc>
    <nc r="C5"/>
  </rcc>
  <rcc rId="1805" sId="3" numFmtId="4">
    <oc r="D5">
      <v>1147597</v>
    </oc>
    <nc r="D5"/>
  </rcc>
  <rcc rId="1806" sId="3" numFmtId="4">
    <oc r="E5">
      <v>643524</v>
    </oc>
    <nc r="E5"/>
  </rcc>
  <rcc rId="1807" sId="3" numFmtId="4">
    <oc r="F5">
      <v>16152899</v>
    </oc>
    <nc r="F5"/>
  </rcc>
  <rcc rId="1808" sId="3" numFmtId="4">
    <oc r="C6">
      <v>6987186</v>
    </oc>
    <nc r="C6"/>
  </rcc>
  <rcc rId="1809" sId="3" numFmtId="4">
    <oc r="D6">
      <v>279804</v>
    </oc>
    <nc r="D6"/>
  </rcc>
  <rcc rId="1810" sId="3" numFmtId="4">
    <oc r="E6">
      <v>273890</v>
    </oc>
    <nc r="E6"/>
  </rcc>
  <rcc rId="1811" sId="3" numFmtId="4">
    <oc r="F6">
      <v>2310378</v>
    </oc>
    <nc r="F6"/>
  </rcc>
  <rcc rId="1812" sId="3" numFmtId="4">
    <oc r="C7">
      <v>428843</v>
    </oc>
    <nc r="C7"/>
  </rcc>
  <rcc rId="1813" sId="3" numFmtId="4">
    <oc r="D7">
      <v>66036</v>
    </oc>
    <nc r="D7"/>
  </rcc>
  <rcc rId="1814" sId="3" numFmtId="4">
    <oc r="E7">
      <v>29822</v>
    </oc>
    <nc r="E7"/>
  </rcc>
  <rcc rId="1815" sId="3" numFmtId="4">
    <oc r="F7">
      <v>443449</v>
    </oc>
    <nc r="F7"/>
  </rcc>
  <rcc rId="1816" sId="3" numFmtId="4">
    <oc r="C11">
      <v>541951</v>
    </oc>
    <nc r="C11"/>
  </rcc>
  <rcc rId="1817" sId="3" numFmtId="4">
    <oc r="D11">
      <v>-157902</v>
    </oc>
    <nc r="D11"/>
  </rcc>
  <rcc rId="1818" sId="3" numFmtId="4">
    <oc r="E11">
      <v>-214265</v>
    </oc>
    <nc r="E11"/>
  </rcc>
  <rcc rId="1819" sId="3" numFmtId="4">
    <oc r="F11">
      <v>1657407</v>
    </oc>
    <nc r="F11"/>
  </rcc>
  <rcc rId="1820" sId="3" numFmtId="4">
    <oc r="C12">
      <v>2747088</v>
    </oc>
    <nc r="C12"/>
  </rcc>
  <rcc rId="1821" sId="3" numFmtId="4">
    <oc r="D12">
      <v>466402</v>
    </oc>
    <nc r="D12"/>
  </rcc>
  <rcc rId="1822" sId="3" numFmtId="4">
    <oc r="E12">
      <v>181936</v>
    </oc>
    <nc r="E12"/>
  </rcc>
  <rcc rId="1823" sId="3" numFmtId="4">
    <oc r="F12">
      <v>10788413</v>
    </oc>
    <nc r="F12"/>
  </rcc>
  <rcc rId="1824" sId="3" numFmtId="4">
    <oc r="C13">
      <v>3228357</v>
    </oc>
    <nc r="C13"/>
  </rcc>
  <rcc rId="1825" sId="3" numFmtId="4">
    <oc r="D13">
      <v>1242660</v>
    </oc>
    <nc r="D13"/>
  </rcc>
  <rcc rId="1826" sId="3" numFmtId="4">
    <oc r="E13">
      <v>758416</v>
    </oc>
    <nc r="E13"/>
  </rcc>
  <rcc rId="1827" sId="3" numFmtId="4">
    <oc r="F13">
      <v>15974893</v>
    </oc>
    <nc r="F13"/>
  </rcc>
  <rcc rId="1828" sId="3" numFmtId="4">
    <oc r="C14">
      <v>8093980</v>
    </oc>
    <nc r="C14"/>
  </rcc>
  <rcc rId="1829" sId="3" numFmtId="4">
    <oc r="D14">
      <v>335153</v>
    </oc>
    <nc r="D14"/>
  </rcc>
  <rcc rId="1830" sId="3" numFmtId="4">
    <oc r="E14">
      <v>329755</v>
    </oc>
    <nc r="E14"/>
  </rcc>
  <rcc rId="1831" sId="3" numFmtId="4">
    <oc r="F14">
      <v>2706907</v>
    </oc>
    <nc r="F14"/>
  </rcc>
  <rcc rId="1832" sId="3" numFmtId="4">
    <oc r="C15">
      <v>503146</v>
    </oc>
    <nc r="C15"/>
  </rcc>
  <rcc rId="1833" sId="3" numFmtId="4">
    <oc r="D15">
      <v>60995</v>
    </oc>
    <nc r="D15"/>
  </rcc>
  <rcc rId="1834" sId="3" numFmtId="4">
    <oc r="E15">
      <v>27896</v>
    </oc>
    <nc r="E15"/>
  </rcc>
  <rcc rId="1835" sId="3" numFmtId="4">
    <oc r="F15">
      <v>478618</v>
    </oc>
    <nc r="F15"/>
  </rcc>
  <rcc rId="1836" sId="3" numFmtId="4">
    <oc r="H3">
      <v>257978</v>
    </oc>
    <nc r="H3"/>
  </rcc>
  <rcc rId="1837" sId="3" numFmtId="4">
    <oc r="I3">
      <v>-104490</v>
    </oc>
    <nc r="I3"/>
  </rcc>
  <rcc rId="1838" sId="3" numFmtId="4">
    <oc r="J3">
      <v>-127029</v>
    </oc>
    <nc r="J3"/>
  </rcc>
  <rcc rId="1839" sId="3" numFmtId="4">
    <oc r="K3">
      <v>1954277</v>
    </oc>
    <nc r="K3"/>
  </rcc>
  <rcc rId="1840" sId="3" numFmtId="4">
    <oc r="H4">
      <v>1070810</v>
    </oc>
    <nc r="H4"/>
  </rcc>
  <rcc rId="1841" sId="3" numFmtId="4">
    <oc r="I4">
      <v>162812</v>
    </oc>
    <nc r="I4"/>
  </rcc>
  <rcc rId="1842" sId="3" numFmtId="4">
    <oc r="J4">
      <v>-647533</v>
    </oc>
    <nc r="J4"/>
  </rcc>
  <rcc rId="1843" sId="3" numFmtId="4">
    <oc r="K4">
      <v>10151833</v>
    </oc>
    <nc r="K4"/>
  </rcc>
  <rcc rId="1844" sId="3" numFmtId="4">
    <oc r="H5">
      <v>1528119</v>
    </oc>
    <nc r="H5"/>
  </rcc>
  <rcc rId="1845" sId="3" numFmtId="4">
    <oc r="I5">
      <v>604338</v>
    </oc>
    <nc r="I5"/>
  </rcc>
  <rcc rId="1846" sId="3" numFmtId="4">
    <oc r="J5">
      <v>351932</v>
    </oc>
    <nc r="J5"/>
  </rcc>
  <rcc rId="1847" sId="3" numFmtId="4">
    <oc r="K5">
      <v>16152899</v>
    </oc>
    <nc r="K5"/>
  </rcc>
  <rcc rId="1848" sId="3" numFmtId="4">
    <oc r="H6">
      <v>3395998</v>
    </oc>
    <nc r="H6"/>
  </rcc>
  <rcc rId="1849" sId="3" numFmtId="4">
    <oc r="I6">
      <v>113042</v>
    </oc>
    <nc r="I6"/>
  </rcc>
  <rcc rId="1850" sId="3" numFmtId="4">
    <oc r="J6">
      <v>113669</v>
    </oc>
    <nc r="J6"/>
  </rcc>
  <rcc rId="1851" sId="3" numFmtId="4">
    <oc r="K6">
      <v>2310378</v>
    </oc>
    <nc r="K6"/>
  </rcc>
  <rcc rId="1852" sId="3" numFmtId="4">
    <oc r="H7">
      <v>211401</v>
    </oc>
    <nc r="H7"/>
  </rcc>
  <rcc rId="1853" sId="3" numFmtId="4">
    <oc r="I7">
      <v>35550</v>
    </oc>
    <nc r="I7"/>
  </rcc>
  <rcc rId="1854" sId="3" numFmtId="4">
    <oc r="J7">
      <v>17383</v>
    </oc>
    <nc r="J7"/>
  </rcc>
  <rcc rId="1855" sId="3" numFmtId="4">
    <oc r="K7">
      <v>443449</v>
    </oc>
    <nc r="K7"/>
  </rcc>
  <rcc rId="1856" sId="3" numFmtId="4">
    <oc r="H11">
      <v>273192</v>
    </oc>
    <nc r="H11"/>
  </rcc>
  <rcc rId="1857" sId="3" numFmtId="4">
    <oc r="I11">
      <v>-113811</v>
    </oc>
    <nc r="I11"/>
  </rcc>
  <rcc rId="1858" sId="3" numFmtId="4">
    <oc r="J11">
      <v>-142220</v>
    </oc>
    <nc r="J11"/>
  </rcc>
  <rcc rId="1859" sId="3" numFmtId="4">
    <oc r="K11">
      <v>1657407</v>
    </oc>
    <nc r="K11"/>
  </rcc>
  <rcc rId="1860" sId="3" numFmtId="4">
    <oc r="H12">
      <v>1184017</v>
    </oc>
    <nc r="H12"/>
  </rcc>
  <rcc rId="1861" sId="3" numFmtId="4">
    <oc r="I12">
      <v>188031</v>
    </oc>
    <nc r="I12"/>
  </rcc>
  <rcc rId="1862" sId="3" numFmtId="4">
    <oc r="J12">
      <v>44376</v>
    </oc>
    <nc r="J12"/>
  </rcc>
  <rcc rId="1863" sId="3" numFmtId="4">
    <oc r="K12">
      <v>10788413</v>
    </oc>
    <nc r="K12"/>
  </rcc>
  <rcc rId="1864" sId="3" numFmtId="4">
    <oc r="H13">
      <v>1585385</v>
    </oc>
    <nc r="H13"/>
  </rcc>
  <rcc rId="1865" sId="3" numFmtId="4">
    <oc r="I13">
      <v>696000</v>
    </oc>
    <nc r="I13"/>
  </rcc>
  <rcc rId="1866" sId="3" numFmtId="4">
    <oc r="J13">
      <v>453363</v>
    </oc>
    <nc r="J13"/>
  </rcc>
  <rcc rId="1867" sId="3" numFmtId="4">
    <oc r="K13">
      <v>15974893</v>
    </oc>
    <nc r="K13"/>
  </rcc>
  <rcc rId="1868" sId="3" numFmtId="4">
    <oc r="H14">
      <v>3915698</v>
    </oc>
    <nc r="H14"/>
  </rcc>
  <rcc rId="1869" sId="3" numFmtId="4">
    <oc r="I14">
      <v>141382</v>
    </oc>
    <nc r="I14"/>
  </rcc>
  <rcc rId="1870" sId="3" numFmtId="4">
    <oc r="J14">
      <v>138710</v>
    </oc>
    <nc r="J14"/>
  </rcc>
  <rcc rId="1871" sId="3" numFmtId="4">
    <oc r="K14">
      <v>2706907</v>
    </oc>
    <nc r="K14"/>
  </rcc>
  <rcc rId="1872" sId="3" numFmtId="4">
    <oc r="H15">
      <v>239006</v>
    </oc>
    <nc r="H15"/>
  </rcc>
  <rcc rId="1873" sId="3" numFmtId="4">
    <oc r="I15">
      <v>17622</v>
    </oc>
    <nc r="I15"/>
  </rcc>
  <rcc rId="1874" sId="3" numFmtId="4">
    <oc r="J15">
      <v>789</v>
    </oc>
    <nc r="J15"/>
  </rcc>
  <rcc rId="1875" sId="3" numFmtId="4">
    <oc r="K15">
      <v>478618</v>
    </oc>
    <nc r="K15"/>
  </rcc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6" sId="3" numFmtId="4">
    <nc r="C3">
      <v>887524</v>
    </nc>
  </rcc>
  <rcc rId="1877" sId="3" numFmtId="4">
    <nc r="C11">
      <v>874814</v>
    </nc>
  </rcc>
  <rcc rId="1878" sId="3" numFmtId="4">
    <nc r="D3">
      <v>-136658</v>
    </nc>
  </rcc>
  <rcc rId="1879" sId="3" numFmtId="4">
    <nc r="D11">
      <v>-23232</v>
    </nc>
  </rcc>
  <rcc rId="1880" sId="3" numFmtId="4">
    <nc r="E3">
      <v>-228703</v>
    </nc>
  </rcc>
  <rcc rId="1881" sId="3" numFmtId="4">
    <nc r="E11">
      <v>-107579</v>
    </nc>
  </rcc>
  <rcc rId="1882" sId="3" numFmtId="4">
    <nc r="H3">
      <v>375392</v>
    </nc>
  </rcc>
  <rcc rId="1883" sId="3" numFmtId="4">
    <nc r="H11">
      <v>332863</v>
    </nc>
  </rcc>
  <rcc rId="1884" sId="3" numFmtId="4">
    <nc r="I3">
      <v>32590</v>
    </nc>
  </rcc>
  <rcc rId="1885" sId="3" numFmtId="4">
    <nc r="I11">
      <v>134670</v>
    </nc>
  </rcc>
  <rcc rId="1886" sId="3" numFmtId="4">
    <nc r="J3">
      <v>1833</v>
    </nc>
  </rcc>
  <rcc rId="1887" sId="3" numFmtId="4">
    <nc r="J11">
      <v>106686</v>
    </nc>
  </rcc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8" sId="3" numFmtId="4">
    <nc r="C4">
      <v>3243691</v>
    </nc>
  </rcc>
  <rcc rId="1889" sId="3" numFmtId="4">
    <nc r="C12">
      <v>3911459</v>
    </nc>
  </rcc>
  <rcc rId="1890" sId="3" numFmtId="4">
    <nc r="D4">
      <v>447109</v>
    </nc>
  </rcc>
  <rcc rId="1891" sId="3" numFmtId="4">
    <nc r="D12">
      <v>564039</v>
    </nc>
  </rcc>
  <rcc rId="1892" sId="3" numFmtId="4">
    <nc r="E4">
      <v>-569841</v>
    </nc>
  </rcc>
  <rcc rId="1893" sId="3" numFmtId="4">
    <nc r="E12">
      <v>130489</v>
    </nc>
  </rcc>
  <rcv guid="{77EFF5B1-32BE-4080-9902-B97F43099026}" action="delete"/>
  <rcv guid="{77EFF5B1-32BE-4080-9902-B97F43099026}" action="add"/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94" sId="3" numFmtId="4">
    <nc r="H4">
      <v>901057</v>
    </nc>
  </rcc>
  <rcc rId="1895" sId="3" numFmtId="4">
    <nc r="H12">
      <v>1164371</v>
    </nc>
  </rcc>
  <rcc rId="1896" sId="3" numFmtId="4">
    <nc r="I4">
      <v>93148</v>
    </nc>
  </rcc>
  <rcc rId="1897" sId="3" numFmtId="4">
    <nc r="I12">
      <v>97637</v>
    </nc>
  </rcc>
  <rcc rId="1898" sId="3" numFmtId="4">
    <nc r="J4">
      <v>-11530</v>
    </nc>
  </rcc>
  <rcc rId="1899" sId="3" numFmtId="4">
    <nc r="J12">
      <v>-51447</v>
    </nc>
  </rcc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00" sId="3" numFmtId="4">
    <nc r="C5">
      <v>4676098</v>
    </nc>
  </rcc>
  <rcc rId="1901" sId="3" numFmtId="4">
    <nc r="C13">
      <v>4792875</v>
    </nc>
  </rcc>
  <rcc rId="1902" sId="3" numFmtId="4">
    <nc r="D5">
      <v>1709660</v>
    </nc>
  </rcc>
  <rcc rId="1903" sId="3" numFmtId="4">
    <nc r="D13">
      <v>1839293</v>
    </nc>
  </rcc>
  <rcc rId="1904" sId="3" numFmtId="4">
    <nc r="E5">
      <v>946514</v>
    </nc>
  </rcc>
  <rcc rId="1905" sId="3" numFmtId="4">
    <nc r="E13">
      <v>1106723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06" sId="7" odxf="1" dxf="1" numFmtId="4">
    <oc r="C4">
      <v>32675</v>
    </oc>
    <nc r="C4">
      <v>369544</v>
    </nc>
    <ndxf>
      <numFmt numFmtId="164" formatCode="#,##0_);[Red]\(#,##0\)"/>
    </ndxf>
  </rcc>
  <rcc rId="1307" sId="7" numFmtId="4">
    <oc r="C5">
      <v>-59861</v>
    </oc>
    <nc r="C5">
      <v>-78338</v>
    </nc>
  </rcc>
  <rcc rId="1308" sId="7" numFmtId="4">
    <oc r="C6">
      <v>821372</v>
    </oc>
    <nc r="C6">
      <v>1245251</v>
    </nc>
  </rcc>
  <rcc rId="1309" sId="7" numFmtId="4">
    <oc r="C7">
      <v>699070</v>
    </oc>
    <nc r="C7">
      <v>689824</v>
    </nc>
  </rcc>
  <rcc rId="1310" sId="7" numFmtId="4">
    <oc r="C8">
      <v>126386</v>
    </oc>
    <nc r="C8">
      <v>187072</v>
    </nc>
  </rcc>
  <rcc rId="1311" sId="7" numFmtId="4">
    <oc r="C9">
      <v>10130</v>
    </oc>
    <nc r="C9">
      <v>-5969</v>
    </nc>
  </rcc>
  <rcc rId="1312" sId="7" numFmtId="4">
    <oc r="C10">
      <v>6786</v>
    </oc>
    <nc r="C10">
      <v>275648</v>
    </nc>
  </rcc>
  <rcc rId="1313" sId="7" numFmtId="4">
    <oc r="C11">
      <v>-219387</v>
    </oc>
    <nc r="C11">
      <v>-277678</v>
    </nc>
  </rcc>
  <rcc rId="1314" sId="7" numFmtId="4">
    <oc r="C12">
      <v>1417171</v>
    </oc>
    <nc r="C12">
      <v>2405354</v>
    </nc>
  </rcc>
  <rcc rId="1315" sId="7" numFmtId="4">
    <oc r="D4">
      <v>858803</v>
    </oc>
    <nc r="D4">
      <v>1313679</v>
    </nc>
  </rcc>
  <rcc rId="1316" sId="7" numFmtId="4">
    <oc r="D5">
      <v>-4870</v>
    </oc>
    <nc r="D5">
      <v>-310</v>
    </nc>
  </rcc>
  <rcc rId="1317" sId="7" numFmtId="4">
    <oc r="D6">
      <v>870603</v>
    </oc>
    <nc r="D6">
      <v>1314797</v>
    </nc>
  </rcc>
  <rcc rId="1318" sId="7" numFmtId="4">
    <oc r="D7">
      <v>-166</v>
    </oc>
    <nc r="D7">
      <v>211</v>
    </nc>
  </rcc>
  <rcc rId="1319" sId="7" numFmtId="4">
    <oc r="D8">
      <v>137277</v>
    </oc>
    <nc r="D8">
      <v>203575</v>
    </nc>
  </rcc>
  <rcc rId="1320" sId="7" numFmtId="4">
    <oc r="D9">
      <v>27510</v>
    </oc>
    <nc r="D9">
      <v>-11864</v>
    </nc>
  </rcc>
  <rcc rId="1321" sId="7" numFmtId="4">
    <oc r="D10">
      <v>-196896</v>
    </oc>
    <nc r="D10">
      <v>33601</v>
    </nc>
  </rcc>
  <rcc rId="1322" sId="7" numFmtId="4">
    <oc r="D11">
      <v>-71201</v>
    </oc>
    <nc r="D11">
      <v>-70597</v>
    </nc>
  </rcc>
  <rcc rId="1323" sId="7" numFmtId="4">
    <oc r="D12">
      <v>1621060</v>
    </oc>
    <nc r="D12">
      <v>2783092</v>
    </nc>
  </rcc>
  <rrc rId="1324" sId="7" ref="A22:XFD22" action="insertRow"/>
  <rcc rId="1325" sId="7">
    <nc r="A22" t="inlineStr">
      <is>
        <t>Dywidendy otrzymane</t>
      </is>
    </nc>
  </rcc>
  <rcc rId="1326" sId="7" numFmtId="4">
    <oc r="C14">
      <v>-1769630</v>
    </oc>
    <nc r="C14">
      <v>-2629223</v>
    </nc>
  </rcc>
  <rfmt sheetId="7" sqref="C15" start="0" length="0">
    <dxf>
      <font>
        <sz val="10"/>
        <color theme="1" tint="0.34998626667073579"/>
        <name val="Arial"/>
        <scheme val="none"/>
      </font>
      <numFmt numFmtId="167" formatCode="_-* #,##0&quot;   &quot;;[Black]\(#,##0\)&quot;  &quot;;&quot;-   &quot;"/>
      <alignment horizontal="right" vertical="center" readingOrder="0"/>
      <protection locked="0"/>
    </dxf>
  </rfmt>
  <rcc rId="1327" sId="7" numFmtId="4">
    <oc r="C16">
      <v>-29534</v>
    </oc>
    <nc r="C16">
      <v>-30672</v>
    </nc>
  </rcc>
  <rcc rId="1328" sId="7" numFmtId="4">
    <oc r="C17">
      <v>-7600</v>
    </oc>
    <nc r="C17">
      <v>-10775</v>
    </nc>
  </rcc>
  <rcc rId="1329" sId="7" numFmtId="4">
    <oc r="C18">
      <v>-1937841</v>
    </oc>
    <nc r="C18">
      <v>-2801747</v>
    </nc>
  </rcc>
  <rcc rId="1330" sId="7" odxf="1" numFmtId="4">
    <oc r="C19">
      <v>15403</v>
    </oc>
    <nc r="C19">
      <v>23836</v>
    </nc>
  </rcc>
  <rfmt sheetId="7" sqref="C20" start="0" length="0">
    <dxf>
      <font>
        <sz val="10"/>
        <color rgb="FF5E5E5E"/>
        <name val="Arial"/>
        <scheme val="none"/>
      </font>
      <numFmt numFmtId="168" formatCode="#,##0_);[Black]\(#,##0\)"/>
      <alignment horizontal="general" vertical="top" readingOrder="0"/>
      <protection locked="1"/>
    </dxf>
  </rfmt>
  <rfmt sheetId="7" sqref="C21" start="0" length="0">
    <dxf>
      <font>
        <sz val="10"/>
        <color rgb="FF5E5E5E"/>
        <name val="Arial"/>
        <scheme val="none"/>
      </font>
      <numFmt numFmtId="168" formatCode="#,##0_);[Black]\(#,##0\)"/>
      <alignment horizontal="general" vertical="top" readingOrder="0"/>
      <protection locked="1"/>
    </dxf>
  </rfmt>
  <rcc rId="1331" sId="7" odxf="1" dxf="1" numFmtId="4">
    <nc r="C22">
      <v>31020</v>
    </nc>
    <ndxf>
      <font>
        <sz val="10"/>
        <color rgb="FF5E5E5E"/>
        <name val="Arial"/>
        <scheme val="none"/>
      </font>
      <numFmt numFmtId="168" formatCode="#,##0_);[Black]\(#,##0\)"/>
      <alignment horizontal="general" vertical="top" readingOrder="0"/>
      <protection locked="1"/>
    </ndxf>
  </rcc>
  <rcc rId="1332" sId="7" numFmtId="4">
    <oc r="C23">
      <v>18066</v>
    </oc>
    <nc r="C23">
      <v>16088</v>
    </nc>
  </rcc>
  <rcc rId="1333" sId="7" numFmtId="4">
    <oc r="C24">
      <v>33469</v>
    </oc>
    <nc r="C24">
      <v>70944</v>
    </nc>
  </rcc>
  <rcc rId="1334" sId="7" numFmtId="4">
    <oc r="C25">
      <v>-1904372</v>
    </oc>
    <nc r="C25">
      <v>-2730803</v>
    </nc>
  </rcc>
  <rcc rId="1335" sId="7" numFmtId="4">
    <oc r="D14">
      <v>-1850110</v>
    </oc>
    <nc r="D14">
      <v>-2825828</v>
    </nc>
  </rcc>
  <rcc rId="1336" sId="7" numFmtId="4">
    <oc r="D16">
      <v>-21734</v>
    </oc>
    <nc r="D16">
      <v>-29000</v>
    </nc>
  </rcc>
  <rcc rId="1337" sId="7" numFmtId="4">
    <oc r="D18">
      <v>-1879994</v>
    </oc>
    <nc r="D18">
      <v>-2862978</v>
    </nc>
  </rcc>
  <rcc rId="1338" sId="7" numFmtId="4">
    <oc r="D19">
      <v>19379</v>
    </oc>
    <nc r="D19">
      <v>22511</v>
    </nc>
  </rcc>
  <rcc rId="1339" sId="7" numFmtId="4">
    <nc r="D22">
      <v>4684</v>
    </nc>
  </rcc>
  <rcc rId="1340" sId="7" numFmtId="4">
    <oc r="D23">
      <v>11122</v>
    </oc>
    <nc r="D23">
      <v>8205</v>
    </nc>
  </rcc>
  <rcc rId="1341" sId="7" numFmtId="4">
    <oc r="D24">
      <v>66733</v>
    </oc>
    <nc r="D24">
      <v>71632</v>
    </nc>
  </rcc>
  <rcc rId="1342" sId="7" numFmtId="4">
    <oc r="D25">
      <v>-1813261</v>
    </oc>
    <nc r="D25">
      <v>-2791346</v>
    </nc>
  </rcc>
  <rrc rId="1343" sId="7" ref="A29:XFD29" action="insertRow"/>
  <rcc rId="1344" sId="7">
    <nc r="A29" t="inlineStr">
      <is>
        <t>Dywidendy wypłacone akcjonariuszom jednostki dominującej</t>
      </is>
    </nc>
  </rcc>
  <rcc rId="1345" sId="7" numFmtId="4">
    <oc r="C27">
      <v>-2250000</v>
    </oc>
    <nc r="C27">
      <v>-2550000</v>
    </nc>
  </rcc>
  <rcc rId="1346" sId="7" numFmtId="4">
    <oc r="C28">
      <v>-44724</v>
    </oc>
    <nc r="C28">
      <v>-66959</v>
    </nc>
  </rcc>
  <rcc rId="1347" sId="7" numFmtId="4">
    <nc r="C29">
      <v>0</v>
    </nc>
  </rcc>
  <rcc rId="1348" sId="7" numFmtId="4">
    <oc r="C30">
      <v>-117339</v>
    </oc>
    <nc r="C30">
      <v>-114419</v>
    </nc>
  </rcc>
  <rcc rId="1349" sId="7" numFmtId="4">
    <oc r="C31">
      <v>-17495</v>
    </oc>
    <nc r="C31">
      <v>-24225</v>
    </nc>
  </rcc>
  <rcc rId="1350" sId="7" numFmtId="4">
    <oc r="C32">
      <v>-2429558</v>
    </oc>
    <nc r="C32">
      <v>-2755603</v>
    </nc>
  </rcc>
  <rcc rId="1351" sId="7" numFmtId="4">
    <oc r="C35">
      <v>22101</v>
    </oc>
    <nc r="C35">
      <v>23878</v>
    </nc>
  </rcc>
  <rcc rId="1352" sId="7" numFmtId="4">
    <oc r="C36">
      <v>2883017</v>
    </oc>
    <nc r="C36">
      <v>2884794</v>
    </nc>
  </rcc>
  <rcc rId="1353" sId="7" numFmtId="4">
    <oc r="D28">
      <v>-44739</v>
    </oc>
    <nc r="D28">
      <v>-67126</v>
    </nc>
  </rcc>
  <rcc rId="1354" sId="7" numFmtId="4">
    <nc r="D29">
      <v>-262882</v>
    </nc>
  </rcc>
  <rcc rId="1355" sId="7" numFmtId="4">
    <oc r="D30">
      <v>-135386</v>
    </oc>
    <nc r="D30">
      <v>-126101</v>
    </nc>
  </rcc>
  <rcc rId="1356" sId="7" numFmtId="4">
    <oc r="D31">
      <v>-15141</v>
    </oc>
    <nc r="D31">
      <v>-23307</v>
    </nc>
  </rcc>
  <rcc rId="1357" sId="7" numFmtId="4">
    <oc r="D32">
      <v>-345266</v>
    </oc>
    <nc r="D32">
      <v>-629416</v>
    </nc>
  </rcc>
  <rcc rId="1358" sId="7" numFmtId="34">
    <oc r="D34">
      <v>0</v>
    </oc>
    <nc r="D34">
      <v>295000</v>
    </nc>
  </rcc>
  <rcc rId="1359" sId="7" numFmtId="4">
    <oc r="D35">
      <v>7696</v>
    </oc>
    <nc r="D35">
      <v>14963</v>
    </nc>
  </rcc>
  <rcc rId="1360" sId="7" numFmtId="4">
    <oc r="D36">
      <v>7696</v>
    </oc>
    <nc r="D36">
      <v>309963</v>
    </nc>
  </rcc>
  <rcc rId="1361" sId="7" numFmtId="4">
    <oc r="C37">
      <v>453459</v>
    </oc>
    <nc r="C37">
      <v>129191</v>
    </nc>
  </rcc>
  <rcc rId="1362" sId="7" numFmtId="4">
    <oc r="D37">
      <v>-337570</v>
    </oc>
    <nc r="D37">
      <v>-319453</v>
    </nc>
  </rcc>
  <rcc rId="1363" sId="7" numFmtId="4">
    <oc r="C38">
      <v>-33742</v>
    </oc>
    <nc r="C38">
      <v>-196258</v>
    </nc>
  </rcc>
  <rcc rId="1364" sId="7" numFmtId="4">
    <oc r="D38">
      <v>-529771</v>
    </oc>
    <nc r="D38">
      <v>-327707</v>
    </nc>
  </rcc>
  <rcc rId="1365" sId="7" numFmtId="4">
    <oc r="C39">
      <v>879</v>
    </oc>
    <nc r="C39">
      <v>2379</v>
    </nc>
  </rcc>
  <rcc rId="1366" sId="7" numFmtId="4">
    <oc r="D39">
      <v>314</v>
    </oc>
    <nc r="D39">
      <v>574</v>
    </nc>
  </rcc>
  <rcc rId="1367" sId="7" numFmtId="4">
    <oc r="C41">
      <v>293973</v>
    </oc>
    <nc r="C41">
      <v>131457</v>
    </nc>
  </rcc>
  <rcc rId="1368" sId="7" numFmtId="4">
    <oc r="D41">
      <v>878300</v>
    </oc>
    <nc r="D41">
      <v>1080364</v>
    </nc>
  </rcc>
  <rcc rId="1369" sId="7" numFmtId="4">
    <oc r="C42">
      <v>179404</v>
    </oc>
    <nc r="C42">
      <v>186188</v>
    </nc>
  </rcc>
  <rcc rId="1370" sId="7" numFmtId="4">
    <oc r="D42">
      <v>164421</v>
    </oc>
    <nc r="D42">
      <v>192798</v>
    </nc>
  </rcc>
  <rcc rId="1371" sId="7">
    <oc r="B40">
      <v>28</v>
    </oc>
    <nc r="B40">
      <v>27</v>
    </nc>
  </rcc>
  <rcc rId="1372" sId="7">
    <oc r="B41">
      <v>28</v>
    </oc>
    <nc r="B41">
      <v>27</v>
    </nc>
  </rcc>
  <rcc rId="1373" sId="7">
    <oc r="B42">
      <v>28</v>
    </oc>
    <nc r="B42">
      <v>27</v>
    </nc>
  </rcc>
  <rcc rId="1374" sId="7">
    <oc r="B7" t="inlineStr">
      <is>
        <t>40.1</t>
      </is>
    </oc>
    <nc r="B7" t="inlineStr">
      <is>
        <t>39.1</t>
      </is>
    </nc>
  </rcc>
  <rcc rId="1375" sId="7">
    <oc r="B10" t="inlineStr">
      <is>
        <t>40.1</t>
      </is>
    </oc>
    <nc r="B10" t="inlineStr">
      <is>
        <t>39.1</t>
      </is>
    </nc>
  </rcc>
  <rcc rId="1376" sId="7">
    <oc r="B11" t="inlineStr">
      <is>
        <t>40.1</t>
      </is>
    </oc>
    <nc r="B11" t="inlineStr">
      <is>
        <t>39.1</t>
      </is>
    </nc>
  </rcc>
  <rcc rId="1377" sId="7">
    <oc r="B14" t="inlineStr">
      <is>
        <t>40.2</t>
      </is>
    </oc>
    <nc r="B14" t="inlineStr">
      <is>
        <t>39.2</t>
      </is>
    </nc>
  </rcc>
  <rcc rId="1378" sId="7">
    <oc r="B15" t="inlineStr">
      <is>
        <t>40.2</t>
      </is>
    </oc>
    <nc r="B15" t="inlineStr">
      <is>
        <t>39.2</t>
      </is>
    </nc>
  </rcc>
  <rcc rId="1379" sId="7">
    <oc r="B16" t="inlineStr">
      <is>
        <t>40.2</t>
      </is>
    </oc>
    <nc r="B16" t="inlineStr">
      <is>
        <t>39.2</t>
      </is>
    </nc>
  </rcc>
  <rcc rId="1380" sId="7">
    <oc r="B17" t="inlineStr">
      <is>
        <t>40.2</t>
      </is>
    </oc>
    <nc r="B17" t="inlineStr">
      <is>
        <t>39.2</t>
      </is>
    </nc>
  </rcc>
  <rcc rId="1381" sId="7">
    <nc r="B22" t="inlineStr">
      <is>
        <t>39.2</t>
      </is>
    </nc>
  </rcc>
  <rcc rId="1382" sId="7">
    <oc r="B27" t="inlineStr">
      <is>
        <t>40.3</t>
      </is>
    </oc>
    <nc r="B27" t="inlineStr">
      <is>
        <t>39.3</t>
      </is>
    </nc>
  </rcc>
  <rcc rId="1383" sId="7">
    <oc r="B28" t="inlineStr">
      <is>
        <t>40.3</t>
      </is>
    </oc>
    <nc r="B28" t="inlineStr">
      <is>
        <t>39.3</t>
      </is>
    </nc>
  </rcc>
  <rcc rId="1384" sId="7">
    <oc r="B30" t="inlineStr">
      <is>
        <t>40.3</t>
      </is>
    </oc>
    <nc r="B30" t="inlineStr">
      <is>
        <t>39.3</t>
      </is>
    </nc>
  </rcc>
  <rcc rId="1385" sId="7">
    <oc r="B33" t="inlineStr">
      <is>
        <t>40.3</t>
      </is>
    </oc>
    <nc r="B33" t="inlineStr">
      <is>
        <t>39.3</t>
      </is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06" sId="3" numFmtId="4">
    <nc r="H5">
      <v>1531592</v>
    </nc>
  </rcc>
  <rcc rId="1907" sId="3" numFmtId="4">
    <nc r="H13">
      <v>1564518</v>
    </nc>
  </rcc>
  <rcc rId="1908" sId="3" numFmtId="4">
    <nc r="I5">
      <v>562063</v>
    </nc>
  </rcc>
  <rcc rId="1909" sId="3" numFmtId="4">
    <nc r="I13">
      <v>596633</v>
    </nc>
  </rcc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10" sId="3" numFmtId="4">
    <nc r="J5">
      <v>302990</v>
    </nc>
  </rcc>
  <rcc rId="1911" sId="3" numFmtId="4">
    <nc r="J13">
      <v>348307</v>
    </nc>
  </rcc>
  <rcc rId="1912" sId="3" numFmtId="4">
    <nc r="C6">
      <v>10286983</v>
    </nc>
  </rcc>
  <rcc rId="1913" sId="3" numFmtId="4">
    <nc r="C14">
      <v>11813153</v>
    </nc>
  </rcc>
  <rcc rId="1914" sId="3" numFmtId="4">
    <nc r="D6">
      <v>397119</v>
    </nc>
  </rcc>
  <rcc rId="1915" sId="3" numFmtId="4">
    <nc r="D14">
      <v>451935</v>
    </nc>
  </rcc>
  <rcc rId="1916" sId="3" numFmtId="4">
    <nc r="E6">
      <v>388811</v>
    </nc>
  </rcc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17" sId="3" numFmtId="4">
    <nc r="E14">
      <v>443797</v>
    </nc>
  </rcc>
  <rcc rId="1918" sId="3" numFmtId="4">
    <nc r="H6">
      <v>3299797</v>
    </nc>
  </rcc>
  <rcc rId="1919" sId="3" numFmtId="4">
    <nc r="H14">
      <v>3719173</v>
    </nc>
  </rcc>
  <rcc rId="1920" sId="3" numFmtId="4">
    <nc r="I6">
      <v>117315</v>
    </nc>
  </rcc>
  <rcc rId="1921" sId="3" numFmtId="4">
    <nc r="I14">
      <v>116782</v>
    </nc>
  </rcc>
  <rcc rId="1922" sId="3" numFmtId="4">
    <nc r="J6">
      <v>114921</v>
    </nc>
  </rcc>
  <rcc rId="1923" sId="3" numFmtId="4">
    <nc r="J14">
      <v>114042</v>
    </nc>
  </rcc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24" sId="3" numFmtId="4">
    <nc r="C7">
      <v>616896</v>
    </nc>
  </rcc>
  <rcc rId="1925" sId="3" numFmtId="4">
    <nc r="C15">
      <v>702794</v>
    </nc>
  </rcc>
  <rcc rId="1926" sId="3" numFmtId="4">
    <nc r="D7">
      <v>102268</v>
    </nc>
  </rcc>
  <rcc rId="1927" sId="3" numFmtId="4">
    <nc r="D15">
      <v>98183</v>
    </nc>
  </rcc>
  <rcc rId="1928" sId="3" numFmtId="4">
    <nc r="E7">
      <v>48146</v>
    </nc>
  </rcc>
  <rcc rId="1929" sId="3" numFmtId="4">
    <nc r="E15">
      <v>47972</v>
    </nc>
  </rcc>
  <rcc rId="1930" sId="3" numFmtId="4">
    <nc r="H7">
      <v>188053</v>
    </nc>
  </rcc>
  <rcc rId="1931" sId="3" numFmtId="4">
    <nc r="H15">
      <v>199648</v>
    </nc>
  </rcc>
  <rcc rId="1932" sId="3" numFmtId="4">
    <nc r="I7">
      <v>36232</v>
    </nc>
  </rcc>
  <rcc rId="1933" sId="3" numFmtId="4">
    <nc r="I15">
      <v>37188</v>
    </nc>
  </rcc>
  <rcc rId="1934" sId="3" numFmtId="4">
    <nc r="J7">
      <v>18324</v>
    </nc>
  </rcc>
  <rcc rId="1935" sId="3" numFmtId="4">
    <nc r="J15">
      <v>20076</v>
    </nc>
  </rcc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36" sId="3" numFmtId="4">
    <nc r="F3">
      <v>1949034</v>
    </nc>
  </rcc>
  <rcc rId="1937" sId="3" numFmtId="4">
    <nc r="F4">
      <v>10429522</v>
    </nc>
  </rcc>
  <rcc rId="1938" sId="3" numFmtId="4">
    <nc r="F5">
      <v>16307098</v>
    </nc>
  </rcc>
  <rcc rId="1939" sId="3" numFmtId="4">
    <nc r="F6">
      <v>2204864</v>
    </nc>
  </rcc>
  <rcc rId="1940" sId="3" numFmtId="4">
    <nc r="F7">
      <v>433699</v>
    </nc>
  </rcc>
  <rcc rId="1941" sId="3" numFmtId="4">
    <nc r="K3">
      <v>1949034</v>
    </nc>
  </rcc>
  <rcc rId="1942" sId="3" numFmtId="4">
    <nc r="K4">
      <v>10429522</v>
    </nc>
  </rcc>
  <rcc rId="1943" sId="3" numFmtId="4">
    <nc r="K5">
      <v>16307098</v>
    </nc>
  </rcc>
  <rcc rId="1944" sId="3" numFmtId="4">
    <nc r="K6">
      <v>2204864</v>
    </nc>
  </rcc>
  <rcc rId="1945" sId="3" numFmtId="4">
    <nc r="K7">
      <v>433699</v>
    </nc>
  </rcc>
  <rcc rId="1946" sId="3" numFmtId="4">
    <nc r="F11">
      <v>1657407</v>
    </nc>
  </rcc>
  <rcc rId="1947" sId="3" numFmtId="4">
    <nc r="F12">
      <v>10788413</v>
    </nc>
  </rcc>
  <rcc rId="1948" sId="3" numFmtId="4">
    <nc r="F13">
      <v>15974893</v>
    </nc>
  </rcc>
  <rcc rId="1949" sId="3" numFmtId="4">
    <nc r="F14">
      <v>2706907</v>
    </nc>
  </rcc>
  <rcc rId="1950" sId="3" numFmtId="4">
    <nc r="F15">
      <v>478618</v>
    </nc>
  </rcc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51" sId="3" numFmtId="4">
    <nc r="K11">
      <v>1657407</v>
    </nc>
  </rcc>
  <rcc rId="1952" sId="3" numFmtId="4">
    <nc r="K12">
      <v>10788413</v>
    </nc>
  </rcc>
  <rcc rId="1953" sId="3" numFmtId="4">
    <nc r="K13">
      <v>15974893</v>
    </nc>
  </rcc>
  <rcc rId="1954" sId="3" numFmtId="4">
    <nc r="K14">
      <v>2706907</v>
    </nc>
  </rcc>
  <rcc rId="1955" sId="3" numFmtId="4">
    <nc r="K15">
      <v>478618</v>
    </nc>
  </rcc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956" sId="4" ref="C1:H1048576" action="insertCol"/>
  <rfmt sheetId="4" sqref="C1" start="0" length="0">
    <dxf>
      <font>
        <b/>
        <sz val="12"/>
        <color rgb="FF4B4B4B"/>
        <name val="Arial"/>
        <scheme val="none"/>
      </font>
      <alignment horizontal="general" indent="0" readingOrder="0"/>
      <border outline="0">
        <bottom style="thin">
          <color rgb="FFE2007A"/>
        </bottom>
      </border>
    </dxf>
  </rfmt>
  <rfmt sheetId="4" sqref="D1" start="0" length="0">
    <dxf>
      <font>
        <sz val="12"/>
        <color rgb="FF4B4B4B"/>
        <name val="Arial"/>
        <scheme val="none"/>
      </font>
      <alignment horizontal="general" indent="0" readingOrder="0"/>
      <border outline="0">
        <bottom style="thin">
          <color rgb="FFE2007A"/>
        </bottom>
      </border>
    </dxf>
  </rfmt>
  <rfmt sheetId="4" sqref="F1" start="0" length="0">
    <dxf>
      <font>
        <sz val="12"/>
        <color rgb="FF4B4B4B"/>
        <name val="Arial"/>
        <scheme val="none"/>
      </font>
      <alignment horizontal="general" indent="0" readingOrder="0"/>
      <border outline="0">
        <bottom style="thin">
          <color rgb="FFE2007A"/>
        </bottom>
      </border>
    </dxf>
  </rfmt>
  <rfmt sheetId="4" sqref="G1" start="0" length="0">
    <dxf>
      <font>
        <sz val="12"/>
        <color rgb="FF4B4B4B"/>
        <name val="Arial"/>
        <scheme val="none"/>
      </font>
      <alignment horizontal="general" indent="0" readingOrder="0"/>
      <border outline="0">
        <bottom style="thin">
          <color rgb="FFE2007A"/>
        </bottom>
      </border>
    </dxf>
  </rfmt>
  <rcc rId="1957" sId="4" odxf="1" dxf="1">
    <nc r="C2" t="inlineStr">
      <is>
        <t>narastająco</t>
      </is>
    </nc>
    <odxf>
      <font>
        <sz val="11"/>
        <color theme="1"/>
        <name val="Calibri"/>
        <scheme val="minor"/>
      </font>
      <alignment horizontal="general" wrapText="0" readingOrder="0"/>
      <border outline="0">
        <top/>
        <bottom/>
      </border>
    </odxf>
    <ndxf>
      <font>
        <sz val="10"/>
        <color rgb="FF4B4B4B"/>
        <name val="Arial"/>
        <scheme val="none"/>
      </font>
      <alignment horizontal="right" wrapText="1" readingOrder="0"/>
      <border outline="0">
        <top style="thin">
          <color rgb="FFE2007A"/>
        </top>
        <bottom style="thin">
          <color rgb="FFE2007A"/>
        </bottom>
      </border>
    </ndxf>
  </rcc>
  <rfmt sheetId="4" sqref="D2" start="0" length="0">
    <dxf>
      <font>
        <sz val="10"/>
        <color rgb="FF4B4B4B"/>
        <name val="Arial"/>
        <scheme val="none"/>
      </font>
      <alignment horizontal="center" wrapText="1" readingOrder="0"/>
      <border outline="0">
        <top style="thin">
          <color rgb="FFE2007A"/>
        </top>
      </border>
    </dxf>
  </rfmt>
  <rcc rId="1958" sId="4" odxf="1" dxf="1">
    <nc r="F2" t="inlineStr">
      <is>
        <t>kwartał</t>
      </is>
    </nc>
    <odxf>
      <font>
        <sz val="11"/>
        <color theme="1"/>
        <name val="Calibri"/>
        <scheme val="minor"/>
      </font>
      <alignment horizontal="general" wrapText="0" readingOrder="0"/>
      <border outline="0">
        <top/>
        <bottom/>
      </border>
    </odxf>
    <ndxf>
      <font>
        <sz val="10"/>
        <color rgb="FF4B4B4B"/>
        <name val="Arial"/>
        <scheme val="none"/>
      </font>
      <alignment horizontal="right" wrapText="1" readingOrder="0"/>
      <border outline="0">
        <top style="thin">
          <color rgb="FFE2007A"/>
        </top>
        <bottom style="thin">
          <color rgb="FFE2007A"/>
        </bottom>
      </border>
    </ndxf>
  </rcc>
  <rfmt sheetId="4" sqref="G2" start="0" length="0">
    <dxf>
      <font>
        <sz val="10"/>
        <color rgb="FF4B4B4B"/>
        <name val="Arial"/>
        <scheme val="none"/>
      </font>
      <alignment horizontal="center" wrapText="1" readingOrder="0"/>
      <border outline="0">
        <top style="thin">
          <color rgb="FFE2007A"/>
        </top>
      </border>
    </dxf>
  </rfmt>
  <rfmt sheetId="4" sqref="C3" start="0" length="0">
    <dxf>
      <font>
        <b/>
        <sz val="10"/>
        <color rgb="FF4B4B4B"/>
        <name val="Arial"/>
        <scheme val="none"/>
      </font>
      <alignment horizontal="center" wrapText="1" readingOrder="0"/>
      <border outline="0">
        <top style="thin">
          <color rgb="FFE2007A"/>
        </top>
      </border>
    </dxf>
  </rfmt>
  <rfmt sheetId="4" sqref="D3" start="0" length="0">
    <dxf>
      <alignment horizontal="center" wrapText="1" readingOrder="0"/>
      <border outline="0">
        <top style="thin">
          <color rgb="FFE2007A"/>
        </top>
      </border>
    </dxf>
  </rfmt>
  <rfmt sheetId="4" sqref="F3" start="0" length="0">
    <dxf>
      <font>
        <b/>
        <sz val="10"/>
        <color rgb="FF4B4B4B"/>
        <name val="Arial"/>
        <scheme val="none"/>
      </font>
      <alignment horizontal="center" wrapText="1" readingOrder="0"/>
      <border outline="0">
        <top style="thin">
          <color rgb="FFE2007A"/>
        </top>
      </border>
    </dxf>
  </rfmt>
  <rfmt sheetId="4" sqref="G3" start="0" length="0">
    <dxf>
      <alignment horizontal="center" wrapText="1" readingOrder="0"/>
      <border outline="0">
        <top style="thin">
          <color rgb="FFE2007A"/>
        </top>
      </border>
    </dxf>
  </rfmt>
  <rfmt sheetId="4" s="1" sqref="C4" start="0" length="0">
    <dxf>
      <font>
        <b/>
        <sz val="10"/>
        <color rgb="FF4B4B4B"/>
        <name val="Arial"/>
        <scheme val="none"/>
      </font>
      <numFmt numFmtId="164" formatCode="#,##0_);[Red]\(#,##0\)"/>
      <border outline="0">
        <top style="thin">
          <color rgb="FF949494"/>
        </top>
      </border>
    </dxf>
  </rfmt>
  <rfmt sheetId="4" s="1" sqref="D4" start="0" length="0">
    <dxf>
      <font>
        <sz val="10"/>
        <color rgb="FF4B4B4B"/>
        <name val="Arial"/>
        <scheme val="none"/>
      </font>
      <numFmt numFmtId="164" formatCode="#,##0_);[Red]\(#,##0\)"/>
      <border outline="0">
        <top style="thin">
          <color rgb="FF949494"/>
        </top>
      </border>
    </dxf>
  </rfmt>
  <rfmt sheetId="4" s="1" sqref="F4" start="0" length="0">
    <dxf>
      <font>
        <b/>
        <sz val="10"/>
        <color rgb="FF4B4B4B"/>
        <name val="Arial"/>
        <scheme val="none"/>
      </font>
      <numFmt numFmtId="164" formatCode="#,##0_);[Red]\(#,##0\)"/>
      <border outline="0">
        <top style="thin">
          <color rgb="FF949494"/>
        </top>
      </border>
    </dxf>
  </rfmt>
  <rfmt sheetId="4" s="1" sqref="G4" start="0" length="0">
    <dxf>
      <font>
        <sz val="10"/>
        <color rgb="FF4B4B4B"/>
        <name val="Arial"/>
        <scheme val="none"/>
      </font>
      <numFmt numFmtId="164" formatCode="#,##0_);[Red]\(#,##0\)"/>
      <border outline="0">
        <top style="thin">
          <color rgb="FF949494"/>
        </top>
      </border>
    </dxf>
  </rfmt>
  <rfmt sheetId="4" s="1" sqref="C5" start="0" length="0">
    <dxf>
      <font>
        <b/>
        <sz val="10"/>
        <color rgb="FF4B4B4B"/>
        <name val="Arial"/>
        <scheme val="none"/>
      </font>
      <numFmt numFmtId="164" formatCode="#,##0_);[Red]\(#,##0\)"/>
    </dxf>
  </rfmt>
  <rfmt sheetId="4" s="1" sqref="D5" start="0" length="0">
    <dxf>
      <font>
        <sz val="10"/>
        <color rgb="FF4B4B4B"/>
        <name val="Arial"/>
        <scheme val="none"/>
      </font>
      <numFmt numFmtId="164" formatCode="#,##0_);[Red]\(#,##0\)"/>
    </dxf>
  </rfmt>
  <rfmt sheetId="4" s="1" sqref="F5" start="0" length="0">
    <dxf>
      <font>
        <b/>
        <sz val="10"/>
        <color rgb="FF4B4B4B"/>
        <name val="Arial"/>
        <scheme val="none"/>
      </font>
      <numFmt numFmtId="164" formatCode="#,##0_);[Red]\(#,##0\)"/>
    </dxf>
  </rfmt>
  <rfmt sheetId="4" s="1" sqref="G5" start="0" length="0">
    <dxf>
      <font>
        <sz val="10"/>
        <color rgb="FF4B4B4B"/>
        <name val="Arial"/>
        <scheme val="none"/>
      </font>
      <numFmt numFmtId="164" formatCode="#,##0_);[Red]\(#,##0\)"/>
    </dxf>
  </rfmt>
  <rfmt sheetId="4" s="1" sqref="C6" start="0" length="0">
    <dxf>
      <font>
        <b/>
        <sz val="10"/>
        <color rgb="FF4B4B4B"/>
        <name val="Arial"/>
        <scheme val="none"/>
      </font>
      <numFmt numFmtId="164" formatCode="#,##0_);[Red]\(#,##0\)"/>
    </dxf>
  </rfmt>
  <rfmt sheetId="4" s="1" sqref="D6" start="0" length="0">
    <dxf>
      <font>
        <sz val="10"/>
        <color rgb="FF4B4B4B"/>
        <name val="Arial"/>
        <scheme val="none"/>
      </font>
      <numFmt numFmtId="164" formatCode="#,##0_);[Red]\(#,##0\)"/>
    </dxf>
  </rfmt>
  <rfmt sheetId="4" s="1" sqref="F6" start="0" length="0">
    <dxf>
      <font>
        <b/>
        <sz val="10"/>
        <color rgb="FF4B4B4B"/>
        <name val="Arial"/>
        <scheme val="none"/>
      </font>
      <numFmt numFmtId="164" formatCode="#,##0_);[Red]\(#,##0\)"/>
    </dxf>
  </rfmt>
  <rfmt sheetId="4" s="1" sqref="G6" start="0" length="0">
    <dxf>
      <font>
        <sz val="10"/>
        <color rgb="FF4B4B4B"/>
        <name val="Arial"/>
        <scheme val="none"/>
      </font>
      <numFmt numFmtId="164" formatCode="#,##0_);[Red]\(#,##0\)"/>
    </dxf>
  </rfmt>
  <rfmt sheetId="4" s="1" sqref="C7" start="0" length="0">
    <dxf>
      <font>
        <b/>
        <sz val="10"/>
        <color rgb="FF4B4B4B"/>
        <name val="Arial"/>
        <scheme val="none"/>
      </font>
      <numFmt numFmtId="164" formatCode="#,##0_);[Red]\(#,##0\)"/>
    </dxf>
  </rfmt>
  <rfmt sheetId="4" s="1" sqref="D7" start="0" length="0">
    <dxf>
      <font>
        <sz val="10"/>
        <color rgb="FF4B4B4B"/>
        <name val="Arial"/>
        <scheme val="none"/>
      </font>
      <numFmt numFmtId="164" formatCode="#,##0_);[Red]\(#,##0\)"/>
    </dxf>
  </rfmt>
  <rfmt sheetId="4" s="1" sqref="F7" start="0" length="0">
    <dxf>
      <font>
        <b/>
        <sz val="10"/>
        <color rgb="FF4B4B4B"/>
        <name val="Arial"/>
        <scheme val="none"/>
      </font>
      <numFmt numFmtId="164" formatCode="#,##0_);[Red]\(#,##0\)"/>
    </dxf>
  </rfmt>
  <rfmt sheetId="4" s="1" sqref="G7" start="0" length="0">
    <dxf>
      <font>
        <sz val="10"/>
        <color rgb="FF4B4B4B"/>
        <name val="Arial"/>
        <scheme val="none"/>
      </font>
      <numFmt numFmtId="164" formatCode="#,##0_);[Red]\(#,##0\)"/>
    </dxf>
  </rfmt>
  <rfmt sheetId="4" s="1" sqref="C8" start="0" length="0">
    <dxf>
      <font>
        <b/>
        <sz val="10"/>
        <color rgb="FF4B4B4B"/>
        <name val="Arial"/>
        <scheme val="none"/>
      </font>
      <numFmt numFmtId="164" formatCode="#,##0_);[Red]\(#,##0\)"/>
      <border outline="0">
        <bottom style="thin">
          <color rgb="FF949494"/>
        </bottom>
      </border>
    </dxf>
  </rfmt>
  <rfmt sheetId="4" s="1" sqref="D8" start="0" length="0">
    <dxf>
      <font>
        <sz val="10"/>
        <color rgb="FF4B4B4B"/>
        <name val="Arial"/>
        <scheme val="none"/>
      </font>
      <numFmt numFmtId="164" formatCode="#,##0_);[Red]\(#,##0\)"/>
      <border outline="0">
        <bottom style="thin">
          <color rgb="FF949494"/>
        </bottom>
      </border>
    </dxf>
  </rfmt>
  <rfmt sheetId="4" s="1" sqref="F8" start="0" length="0">
    <dxf>
      <font>
        <b/>
        <sz val="10"/>
        <color rgb="FF4B4B4B"/>
        <name val="Arial"/>
        <scheme val="none"/>
      </font>
      <numFmt numFmtId="164" formatCode="#,##0_);[Red]\(#,##0\)"/>
      <border outline="0">
        <bottom style="thin">
          <color rgb="FF949494"/>
        </bottom>
      </border>
    </dxf>
  </rfmt>
  <rfmt sheetId="4" s="1" sqref="G8" start="0" length="0">
    <dxf>
      <font>
        <sz val="10"/>
        <color rgb="FF4B4B4B"/>
        <name val="Arial"/>
        <scheme val="none"/>
      </font>
      <numFmt numFmtId="164" formatCode="#,##0_);[Red]\(#,##0\)"/>
      <border outline="0">
        <bottom style="thin">
          <color rgb="FF949494"/>
        </bottom>
      </border>
    </dxf>
  </rfmt>
  <rcc rId="1959" sId="4" odxf="1" s="1" dxf="1">
    <nc r="C9">
      <f>SUM(C4:C8)</f>
    </nc>
    <odxf>
      <numFmt numFmtId="0" formatCode="General"/>
      <fill>
        <patternFill patternType="solid">
          <fgColor indexed="64"/>
          <bgColor theme="0"/>
        </patternFill>
      </fill>
    </odxf>
    <ndxf>
      <font>
        <b/>
        <sz val="10"/>
        <color rgb="FF4B4B4B"/>
        <name val="Arial"/>
        <scheme val="none"/>
      </font>
      <numFmt numFmtId="164" formatCode="#,##0_);[Red]\(#,##0\)"/>
    </ndxf>
  </rcc>
  <rcc rId="1960" sId="4" odxf="1" s="1" dxf="1">
    <nc r="D9">
      <f>SUM(D4:D8)</f>
    </nc>
    <odxf>
      <numFmt numFmtId="0" formatCode="General"/>
      <fill>
        <patternFill patternType="solid">
          <fgColor indexed="64"/>
          <bgColor theme="0"/>
        </patternFill>
      </fill>
    </odxf>
    <ndxf>
      <font>
        <sz val="10"/>
        <color rgb="FF4B4B4B"/>
        <name val="Arial"/>
        <scheme val="none"/>
      </font>
      <numFmt numFmtId="164" formatCode="#,##0_);[Red]\(#,##0\)"/>
    </ndxf>
  </rcc>
  <rcc rId="1961" sId="4" odxf="1" s="1" dxf="1">
    <nc r="F9">
      <f>SUM(F4:F8)</f>
    </nc>
    <odxf>
      <numFmt numFmtId="0" formatCode="General"/>
      <fill>
        <patternFill patternType="solid">
          <fgColor indexed="64"/>
          <bgColor theme="0"/>
        </patternFill>
      </fill>
    </odxf>
    <ndxf>
      <font>
        <sz val="10"/>
        <color rgb="FF4B4B4B"/>
        <name val="Arial"/>
        <scheme val="none"/>
      </font>
      <numFmt numFmtId="164" formatCode="#,##0_);[Red]\(#,##0\)"/>
    </ndxf>
  </rcc>
  <rcc rId="1962" sId="4" odxf="1" s="1" dxf="1">
    <nc r="G9">
      <f>SUM(G4:G8)</f>
    </nc>
    <odxf>
      <numFmt numFmtId="0" formatCode="General"/>
      <fill>
        <patternFill patternType="solid">
          <fgColor indexed="64"/>
          <bgColor theme="0"/>
        </patternFill>
      </fill>
    </odxf>
    <ndxf>
      <font>
        <sz val="10"/>
        <color rgb="FF4B4B4B"/>
        <name val="Arial"/>
        <scheme val="none"/>
      </font>
      <numFmt numFmtId="164" formatCode="#,##0_);[Red]\(#,##0\)"/>
    </ndxf>
  </rcc>
  <rfmt sheetId="4" sqref="C10" start="0" length="0">
    <dxf>
      <font>
        <b/>
        <sz val="11"/>
        <color theme="1"/>
        <name val="Calibri"/>
        <scheme val="minor"/>
      </font>
    </dxf>
  </rfmt>
  <rfmt sheetId="4" s="1" sqref="C11" start="0" length="0">
    <dxf>
      <font>
        <b/>
        <sz val="10"/>
        <color rgb="FF4B4B4B"/>
        <name val="Arial"/>
        <scheme val="none"/>
      </font>
      <numFmt numFmtId="164" formatCode="#,##0_);[Red]\(#,##0\)"/>
    </dxf>
  </rfmt>
  <rfmt sheetId="4" s="1" sqref="D11" start="0" length="0">
    <dxf>
      <font>
        <sz val="10"/>
        <color rgb="FF4B4B4B"/>
        <name val="Arial"/>
        <scheme val="none"/>
      </font>
      <numFmt numFmtId="164" formatCode="#,##0_);[Red]\(#,##0\)"/>
    </dxf>
  </rfmt>
  <rfmt sheetId="4" s="1" sqref="F11" start="0" length="0">
    <dxf>
      <font>
        <sz val="10"/>
        <color rgb="FF4B4B4B"/>
        <name val="Arial"/>
        <scheme val="none"/>
      </font>
      <numFmt numFmtId="164" formatCode="#,##0_);[Red]\(#,##0\)"/>
    </dxf>
  </rfmt>
  <rfmt sheetId="4" s="1" sqref="G11" start="0" length="0">
    <dxf>
      <font>
        <sz val="10"/>
        <color rgb="FF4B4B4B"/>
        <name val="Arial"/>
        <scheme val="none"/>
      </font>
      <numFmt numFmtId="164" formatCode="#,##0_);[Red]\(#,##0\)"/>
    </dxf>
  </rfmt>
  <rfmt sheetId="4" sqref="C12" start="0" length="0">
    <dxf>
      <font>
        <b/>
        <sz val="11"/>
        <color theme="1"/>
        <name val="Calibri"/>
        <scheme val="minor"/>
      </font>
    </dxf>
  </rfmt>
  <rfmt sheetId="4" sqref="C13" start="0" length="0">
    <dxf>
      <font>
        <b/>
        <sz val="11"/>
        <color theme="1"/>
        <name val="Calibri"/>
        <scheme val="minor"/>
      </font>
    </dxf>
  </rfmt>
  <rfmt sheetId="4" sqref="C14" start="0" length="0">
    <dxf>
      <font>
        <b/>
        <sz val="11"/>
        <color theme="1"/>
        <name val="Calibri"/>
        <scheme val="minor"/>
      </font>
    </dxf>
  </rfmt>
  <rfmt sheetId="4" sqref="C15" start="0" length="0">
    <dxf>
      <font>
        <b/>
        <sz val="11"/>
        <color theme="1"/>
        <name val="Calibri"/>
        <scheme val="minor"/>
      </font>
    </dxf>
  </rfmt>
  <rfmt sheetId="4" sqref="C16" start="0" length="0">
    <dxf>
      <font>
        <b/>
        <sz val="11"/>
        <color theme="1"/>
        <name val="Calibri"/>
        <scheme val="minor"/>
      </font>
    </dxf>
  </rfmt>
  <rfmt sheetId="4" sqref="C17" start="0" length="0">
    <dxf>
      <font>
        <b/>
        <sz val="11"/>
        <color theme="1"/>
        <name val="Calibri"/>
        <scheme val="minor"/>
      </font>
    </dxf>
  </rfmt>
  <rfmt sheetId="4" sqref="C18" start="0" length="0">
    <dxf>
      <font>
        <b/>
        <sz val="11"/>
        <color theme="1"/>
        <name val="Calibri"/>
        <scheme val="minor"/>
      </font>
    </dxf>
  </rfmt>
  <rfmt sheetId="4" sqref="C19" start="0" length="0">
    <dxf>
      <font>
        <b/>
        <sz val="11"/>
        <color theme="1"/>
        <name val="Calibri"/>
        <scheme val="minor"/>
      </font>
    </dxf>
  </rfmt>
  <rfmt sheetId="4" sqref="C20" start="0" length="0">
    <dxf>
      <font>
        <b/>
        <sz val="11"/>
        <color theme="1"/>
        <name val="Calibri"/>
        <scheme val="minor"/>
      </font>
    </dxf>
  </rfmt>
  <rfmt sheetId="4" sqref="C21" start="0" length="0">
    <dxf>
      <font>
        <b/>
        <sz val="11"/>
        <color theme="1"/>
        <name val="Calibri"/>
        <scheme val="minor"/>
      </font>
    </dxf>
  </rfmt>
  <rfmt sheetId="4" sqref="C22" start="0" length="0">
    <dxf>
      <font>
        <b/>
        <sz val="11"/>
        <color theme="1"/>
        <name val="Calibri"/>
        <scheme val="minor"/>
      </font>
    </dxf>
  </rfmt>
  <rfmt sheetId="4" sqref="C23" start="0" length="0">
    <dxf>
      <font>
        <b/>
        <sz val="11"/>
        <color theme="1"/>
        <name val="Calibri"/>
        <scheme val="minor"/>
      </font>
    </dxf>
  </rfmt>
  <rfmt sheetId="4" sqref="C1:C1048576" start="0" length="0">
    <dxf>
      <font>
        <b/>
        <sz val="11"/>
        <color theme="1"/>
        <name val="Calibri"/>
        <scheme val="minor"/>
      </font>
    </dxf>
  </rfmt>
  <rfmt sheetId="4" sqref="C3" start="0" length="0">
    <dxf>
      <font>
        <b val="0"/>
        <sz val="10"/>
        <color rgb="FF4B4B4B"/>
        <name val="Arial"/>
        <scheme val="none"/>
      </font>
    </dxf>
  </rfmt>
  <rfmt sheetId="4" sqref="E3" start="0" length="0">
    <dxf>
      <font>
        <sz val="11"/>
        <color theme="1"/>
        <name val="Calibri"/>
        <scheme val="minor"/>
      </font>
      <alignment horizontal="general" vertical="bottom" readingOrder="0"/>
    </dxf>
  </rfmt>
  <rfmt sheetId="4" sqref="F3" start="0" length="0">
    <dxf>
      <font>
        <b val="0"/>
        <sz val="10"/>
        <color rgb="FF4B4B4B"/>
        <name val="Arial"/>
        <scheme val="none"/>
      </font>
    </dxf>
  </rfmt>
  <rcc rId="1963" sId="4">
    <nc r="C3" t="inlineStr">
      <is>
        <t>Za okres
9 miesięcy 2016 r.</t>
      </is>
    </nc>
  </rcc>
  <rcc rId="1964" sId="4">
    <nc r="D3" t="inlineStr">
      <is>
        <t>Za okres
9 miesięcy 2015 r.</t>
      </is>
    </nc>
  </rcc>
  <rcc rId="1965" sId="4">
    <nc r="F3" t="inlineStr">
      <is>
        <t>III kwartał 
2016 r.</t>
      </is>
    </nc>
  </rcc>
  <rcc rId="1966" sId="4">
    <nc r="G3" t="inlineStr">
      <is>
        <t>III kwartał 
2015 r.</t>
      </is>
    </nc>
  </rcc>
  <rcv guid="{77EFF5B1-32BE-4080-9902-B97F43099026}" action="delete"/>
  <rcv guid="{77EFF5B1-32BE-4080-9902-B97F43099026}" action="add"/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67" sId="4" numFmtId="4">
    <nc r="C4">
      <v>132344</v>
    </nc>
  </rcc>
  <rcc rId="1968" sId="4" numFmtId="4">
    <nc r="D4">
      <v>177546</v>
    </nc>
  </rcc>
  <rcc rId="1969" sId="4" numFmtId="4">
    <nc r="C5">
      <v>1110294</v>
    </nc>
  </rcc>
  <rcc rId="1970" sId="4" numFmtId="4">
    <nc r="D5">
      <v>1408650</v>
    </nc>
  </rcc>
  <rcc rId="1971" sId="4" numFmtId="4">
    <nc r="C6">
      <v>1171378</v>
    </nc>
  </rcc>
  <rcc rId="1972" sId="4" numFmtId="4">
    <nc r="D6">
      <v>1133551</v>
    </nc>
  </rcc>
  <rcc rId="1973" sId="4" numFmtId="4">
    <nc r="C7">
      <v>1164</v>
    </nc>
  </rcc>
  <rcc rId="1974" sId="4" numFmtId="4">
    <nc r="D7">
      <v>3197</v>
    </nc>
  </rcc>
  <rcc rId="1975" sId="4" numFmtId="4">
    <nc r="C8">
      <v>34637</v>
    </nc>
  </rcc>
  <rcc rId="1976" sId="4" numFmtId="4">
    <nc r="D8">
      <v>55928</v>
    </nc>
  </rcc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77" sId="4" numFmtId="4">
    <nc r="F4">
      <v>41690</v>
    </nc>
  </rcc>
  <rcc rId="1978" sId="4" numFmtId="4">
    <nc r="G4">
      <v>31301</v>
    </nc>
  </rcc>
  <rcc rId="1979" sId="4" numFmtId="4">
    <nc r="F5">
      <v>510474</v>
    </nc>
  </rcc>
  <rcc rId="1980" sId="4" numFmtId="4">
    <nc r="G5">
      <v>523081</v>
    </nc>
  </rcc>
  <rcc rId="1981" sId="4" numFmtId="4">
    <nc r="F6">
      <v>427039</v>
    </nc>
  </rcc>
  <rcc rId="1982" sId="4" numFmtId="4">
    <nc r="G6">
      <v>437305</v>
    </nc>
  </rcc>
  <rcc rId="1983" sId="4" numFmtId="4">
    <nc r="F7">
      <v>407</v>
    </nc>
  </rcc>
  <rcc rId="1984" sId="4" numFmtId="4">
    <nc r="G7">
      <v>666</v>
    </nc>
  </rcc>
  <rcc rId="1985" sId="4" numFmtId="4">
    <nc r="F8">
      <v>18077</v>
    </nc>
  </rcc>
  <rcc rId="1986" sId="4" numFmtId="4">
    <nc r="G8">
      <v>15792</v>
    </nc>
  </rcc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7EFF5B1-32BE-4080-9902-B97F43099026}" action="delete"/>
  <rcv guid="{77EFF5B1-32BE-4080-9902-B97F43099026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86" sId="8" odxf="1" dxf="1" numFmtId="4">
    <nc r="AB5">
      <v>4180888</v>
    </nc>
    <ndxf>
      <font>
        <sz val="10"/>
        <color rgb="FF4B4B4B"/>
        <name val="Arial"/>
        <scheme val="none"/>
      </font>
    </ndxf>
  </rcc>
  <rcc rId="1387" sId="8" odxf="1" dxf="1" numFmtId="4">
    <nc r="AB6">
      <v>-3537039</v>
    </nc>
    <ndxf>
      <font>
        <sz val="10"/>
        <color rgb="FF4B4B4B"/>
        <name val="Arial"/>
        <scheme val="none"/>
      </font>
    </ndxf>
  </rcc>
  <rfmt sheetId="8" sqref="AB7" start="0" length="0">
    <dxf>
      <font>
        <sz val="10"/>
        <color rgb="FF4B4B4B"/>
        <name val="Arial"/>
        <scheme val="none"/>
      </font>
    </dxf>
  </rfmt>
  <rfmt sheetId="8" sqref="AB8" start="0" length="0">
    <dxf>
      <font>
        <sz val="10"/>
        <color rgb="FF4B4B4B"/>
        <name val="Arial"/>
        <scheme val="none"/>
      </font>
      <numFmt numFmtId="164" formatCode="#,##0_);[Red]\(#,##0\)"/>
    </dxf>
  </rfmt>
  <rfmt sheetId="8" sqref="AB9" start="0" length="0">
    <dxf>
      <font>
        <sz val="10"/>
        <color rgb="FF4B4B4B"/>
        <name val="Arial"/>
        <scheme val="none"/>
      </font>
    </dxf>
  </rfmt>
  <rfmt sheetId="8" sqref="AB10" start="0" length="0">
    <dxf>
      <font>
        <sz val="10"/>
        <color rgb="FF4B4B4B"/>
        <name val="Arial"/>
        <scheme val="none"/>
      </font>
    </dxf>
  </rfmt>
  <rfmt sheetId="8" sqref="AB11" start="0" length="0">
    <dxf>
      <font>
        <sz val="10"/>
        <color rgb="FF4B4B4B"/>
        <name val="Arial"/>
        <scheme val="none"/>
      </font>
      <fill>
        <patternFill patternType="none">
          <bgColor indexed="65"/>
        </patternFill>
      </fill>
    </dxf>
  </rfmt>
  <rfmt sheetId="8" sqref="AB12" start="0" length="0">
    <dxf>
      <font>
        <sz val="10"/>
        <color rgb="FF4B4B4B"/>
        <name val="Arial"/>
        <scheme val="none"/>
      </font>
    </dxf>
  </rfmt>
  <rfmt sheetId="8" sqref="AB13" start="0" length="0">
    <dxf>
      <font>
        <sz val="10"/>
        <color rgb="FF4B4B4B"/>
        <name val="Arial"/>
        <scheme val="none"/>
      </font>
    </dxf>
  </rfmt>
  <rfmt sheetId="8" sqref="AB14" start="0" length="0">
    <dxf>
      <font>
        <sz val="10"/>
        <color rgb="FF4B4B4B"/>
        <name val="Arial"/>
        <scheme val="none"/>
      </font>
    </dxf>
  </rfmt>
  <rfmt sheetId="8" sqref="AB15" start="0" length="0">
    <dxf>
      <font>
        <sz val="10"/>
        <color rgb="FF4B4B4B"/>
        <name val="Arial"/>
        <scheme val="none"/>
      </font>
    </dxf>
  </rfmt>
  <rfmt sheetId="8" sqref="AB16" start="0" length="0">
    <dxf>
      <font>
        <sz val="10"/>
        <color rgb="FF4B4B4B"/>
        <name val="Arial"/>
        <scheme val="none"/>
      </font>
    </dxf>
  </rfmt>
  <rfmt sheetId="8" sqref="AB17" start="0" length="0">
    <dxf>
      <font>
        <sz val="10"/>
        <color rgb="FF4B4B4B"/>
        <name val="Arial"/>
        <scheme val="none"/>
      </font>
    </dxf>
  </rfmt>
  <rcc rId="1388" sId="8" numFmtId="4">
    <nc r="AB16">
      <v>336869</v>
    </nc>
  </rcc>
  <rcc rId="1389" sId="8" numFmtId="4">
    <nc r="AB17">
      <v>-65454</v>
    </nc>
  </rcc>
  <rcc rId="1390" sId="8" odxf="1" dxf="1" numFmtId="4">
    <nc r="AB18">
      <v>271415</v>
    </nc>
    <ndxf>
      <font>
        <sz val="10"/>
        <color rgb="FF4B4B4B"/>
        <name val="Arial"/>
        <scheme val="none"/>
      </font>
      <border outline="0">
        <top style="thin">
          <color theme="0" tint="-0.499984740745262"/>
        </top>
        <bottom style="thin">
          <color theme="0" tint="-0.499984740745262"/>
        </bottom>
      </border>
    </ndxf>
  </rcc>
  <rfmt sheetId="8" sqref="AB19" start="0" length="0">
    <dxf>
      <font>
        <sz val="10"/>
        <color rgb="FF4B4B4B"/>
        <name val="Arial"/>
        <scheme val="none"/>
      </font>
      <numFmt numFmtId="170" formatCode="_-* #,##0.00&quot;   &quot;;[Red]\(#,##0.00\)&quot;  &quot;;&quot;-   &quot;"/>
      <border outline="0">
        <top style="thin">
          <color theme="0" tint="-0.499984740745262"/>
        </top>
        <bottom style="thin">
          <color theme="0" tint="-0.499984740745262"/>
        </bottom>
      </border>
    </dxf>
  </rfmt>
  <rcc rId="1391" sId="8" numFmtId="4">
    <nc r="AB15">
      <v>18477</v>
    </nc>
  </rcc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7EFF5B1-32BE-4080-9902-B97F43099026}" action="delete"/>
  <rcv guid="{77EFF5B1-32BE-4080-9902-B97F43099026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2" sId="8" numFmtId="4">
    <nc r="AB12">
      <v>389296</v>
    </nc>
  </rcc>
  <rcc rId="1393" sId="8" numFmtId="4">
    <nc r="AB9">
      <v>-112429</v>
    </nc>
  </rcc>
  <rcc rId="1394" sId="8" numFmtId="4">
    <nc r="AB10">
      <v>-154810</v>
    </nc>
  </rcc>
  <rcc rId="1395" sId="8" numFmtId="4">
    <nc r="AB7">
      <v>643849</v>
    </nc>
  </rcc>
  <rcc rId="1396" sId="8" numFmtId="4">
    <nc r="AB13">
      <v>-4354</v>
    </nc>
  </rcc>
  <rcc rId="1397" sId="8" numFmtId="4">
    <nc r="AB14">
      <v>-3903</v>
    </nc>
  </rcc>
  <rcc rId="1398" sId="8">
    <nc r="AB8">
      <f>84477-AA8-Z8</f>
    </nc>
  </rcc>
  <rcc rId="1399" sId="8">
    <nc r="AB11">
      <f>-56498-AA11-Z11</f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00" sId="8" odxf="1" dxf="1">
    <nc r="AB21" t="inlineStr">
      <is>
        <t>-</t>
      </is>
    </nc>
    <odxf>
      <font>
        <sz val="11"/>
        <color theme="1"/>
        <name val="Calibri"/>
        <scheme val="minor"/>
      </font>
      <numFmt numFmtId="0" formatCode="General"/>
      <alignment horizontal="general" vertical="bottom" readingOrder="0"/>
    </odxf>
    <ndxf>
      <font>
        <sz val="10"/>
        <color rgb="FF4B4B4B"/>
        <name val="Arial"/>
        <scheme val="none"/>
      </font>
      <numFmt numFmtId="35" formatCode="_-* #,##0.00\ _z_ł_-;\-* #,##0.00\ _z_ł_-;_-* &quot;-&quot;??\ _z_ł_-;_-@_-"/>
      <alignment horizontal="right" vertical="top" readingOrder="0"/>
    </ndxf>
  </rcc>
  <rcc rId="1401" sId="8" odxf="1" dxf="1" numFmtId="4">
    <nc r="AB22">
      <v>35092</v>
    </nc>
    <ndxf>
      <font>
        <sz val="10"/>
        <color rgb="FF4B4B4B"/>
        <name val="Arial"/>
        <scheme val="none"/>
      </font>
    </ndxf>
  </rcc>
  <rcc rId="1402" sId="8" odxf="1" dxf="1" numFmtId="4">
    <nc r="AB24">
      <v>-7379</v>
    </nc>
    <ndxf>
      <font>
        <sz val="10"/>
        <color rgb="FF4B4B4B"/>
        <name val="Arial"/>
        <scheme val="none"/>
      </font>
    </ndxf>
  </rcc>
  <rcc rId="1403" sId="8" odxf="1" dxf="1" numFmtId="4">
    <nc r="AB26">
      <v>22024</v>
    </nc>
    <ndxf>
      <font>
        <sz val="10"/>
        <color rgb="FF4B4B4B"/>
        <name val="Arial"/>
        <scheme val="none"/>
      </font>
    </ndxf>
  </rcc>
  <rcc rId="1404" sId="8" odxf="1" dxf="1" numFmtId="4">
    <nc r="AB27">
      <v>293439</v>
    </nc>
    <ndxf>
      <font>
        <sz val="10"/>
        <color rgb="FF4B4B4B"/>
        <name val="Arial"/>
        <scheme val="none"/>
      </font>
    </ndxf>
  </rcc>
  <rcc rId="1405" sId="8" odxf="1" dxf="1" numFmtId="4">
    <nc r="AB29">
      <v>270848</v>
    </nc>
    <ndxf>
      <font>
        <sz val="10"/>
        <color rgb="FF4B4B4B"/>
        <name val="Arial"/>
        <scheme val="none"/>
      </font>
    </ndxf>
  </rcc>
  <rcc rId="1406" sId="8" odxf="1" dxf="1" numFmtId="4">
    <nc r="AB30">
      <v>567</v>
    </nc>
    <ndxf>
      <font>
        <sz val="10"/>
        <color rgb="FF4B4B4B"/>
        <name val="Arial"/>
        <scheme val="none"/>
      </font>
    </ndxf>
  </rcc>
  <rfmt sheetId="8" sqref="AB31" start="0" length="0">
    <dxf>
      <font>
        <sz val="10"/>
        <color rgb="FF4B4B4B"/>
        <name val="Arial"/>
        <scheme val="none"/>
      </font>
      <numFmt numFmtId="164" formatCode="#,##0_);[Red]\(#,##0\)"/>
    </dxf>
  </rfmt>
  <rcc rId="1407" sId="8" odxf="1" dxf="1" numFmtId="4">
    <nc r="AB32">
      <v>292872</v>
    </nc>
    <ndxf>
      <font>
        <sz val="10"/>
        <color rgb="FF4B4B4B"/>
        <name val="Arial"/>
        <scheme val="none"/>
      </font>
      <numFmt numFmtId="164" formatCode="#,##0_);[Red]\(#,##0\)"/>
    </ndxf>
  </rcc>
  <rcc rId="1408" sId="8" odxf="1" dxf="1" numFmtId="4">
    <nc r="AB33">
      <v>567</v>
    </nc>
    <ndxf>
      <font>
        <sz val="10"/>
        <color rgb="FF4B4B4B"/>
        <name val="Arial"/>
        <scheme val="none"/>
      </font>
      <numFmt numFmtId="164" formatCode="#,##0_);[Red]\(#,##0\)"/>
    </ndxf>
  </rcc>
  <rfmt sheetId="8" sqref="AB34" start="0" length="0">
    <dxf>
      <font>
        <sz val="10"/>
        <color rgb="FF4B4B4B"/>
        <name val="Arial"/>
        <scheme val="none"/>
      </font>
      <numFmt numFmtId="164" formatCode="#,##0_);[Red]\(#,##0\)"/>
      <alignment horizontal="right" vertical="top" readingOrder="0"/>
      <border outline="0">
        <top style="thin">
          <color rgb="FF949494"/>
        </top>
        <bottom style="thin">
          <color rgb="FF949494"/>
        </bottom>
      </border>
    </dxf>
  </rfmt>
  <rcc rId="1409" sId="8" odxf="1" dxf="1" numFmtId="34">
    <nc r="AB36">
      <v>0.15</v>
    </nc>
    <ndxf>
      <font>
        <sz val="10"/>
        <color rgb="FF4B4B4B"/>
        <name val="Arial"/>
        <scheme val="none"/>
      </font>
      <numFmt numFmtId="169" formatCode="_-* #,##0.00&quot;   &quot;;[Red]\(#,##0.00\)&quot;  &quot;;&quot;-   &quot;"/>
      <border outline="0">
        <bottom style="thin">
          <color theme="0" tint="-0.499984740745262"/>
        </bottom>
      </border>
    </ndxf>
  </rcc>
  <rfmt sheetId="8" sqref="AB23">
    <dxf>
      <fill>
        <patternFill>
          <bgColor rgb="FFFFFF00"/>
        </patternFill>
      </fill>
    </dxf>
  </rfmt>
  <rfmt sheetId="8" sqref="AB25">
    <dxf>
      <fill>
        <patternFill>
          <bgColor rgb="FFFFFF00"/>
        </patternFill>
      </fill>
    </dxf>
  </rfmt>
  <rcc rId="1410" sId="8" odxf="1" dxf="1" numFmtId="4">
    <nc r="AB25">
      <v>-6887</v>
    </nc>
    <ndxf>
      <font>
        <sz val="10"/>
        <color rgb="FF4B4B4B"/>
        <name val="Arial"/>
        <scheme val="none"/>
      </font>
      <fill>
        <patternFill>
          <bgColor theme="0"/>
        </patternFill>
      </fill>
    </ndxf>
  </rcc>
  <rcc rId="1411" sId="8" odxf="1" dxf="1" numFmtId="4">
    <nc r="AB23">
      <v>1198</v>
    </nc>
    <ndxf>
      <font>
        <sz val="10"/>
        <color rgb="FF4B4B4B"/>
        <name val="Arial"/>
        <scheme val="none"/>
      </font>
      <fill>
        <patternFill>
          <bgColor theme="0"/>
        </patternFill>
      </fill>
    </ndxf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12" sId="8" odxf="1" dxf="1" numFmtId="4">
    <nc r="AB42">
      <v>25637117</v>
    </nc>
    <ndxf>
      <font>
        <sz val="10"/>
        <color rgb="FF4B4B4B"/>
        <name val="Arial"/>
        <scheme val="none"/>
      </font>
    </ndxf>
  </rcc>
  <rcc rId="1413" sId="8" odxf="1" dxf="1" numFmtId="4">
    <nc r="AB43">
      <v>40156</v>
    </nc>
    <ndxf>
      <font>
        <sz val="10"/>
        <color rgb="FF4B4B4B"/>
        <name val="Arial"/>
        <scheme val="none"/>
      </font>
    </ndxf>
  </rcc>
  <rfmt sheetId="8" sqref="AB44" start="0" length="0">
    <dxf>
      <font>
        <sz val="10"/>
        <color rgb="FF4B4B4B"/>
        <name val="Arial"/>
        <scheme val="none"/>
      </font>
    </dxf>
  </rfmt>
  <rfmt sheetId="8" sqref="AB45" start="0" length="0">
    <dxf>
      <font>
        <sz val="10"/>
        <color rgb="FF4B4B4B"/>
        <name val="Arial"/>
        <scheme val="none"/>
      </font>
    </dxf>
  </rfmt>
  <rfmt sheetId="8" sqref="AB46" start="0" length="0">
    <dxf>
      <font>
        <sz val="10"/>
        <color rgb="FF4B4B4B"/>
        <name val="Arial"/>
        <scheme val="none"/>
      </font>
    </dxf>
  </rfmt>
  <rfmt sheetId="8" sqref="AB47" start="0" length="0">
    <dxf>
      <font>
        <sz val="10"/>
        <color rgb="FF4B4B4B"/>
        <name val="Arial"/>
        <scheme val="none"/>
      </font>
    </dxf>
  </rfmt>
  <rcc rId="1414" sId="8" odxf="1" dxf="1" numFmtId="4">
    <nc r="AB48">
      <v>65758</v>
    </nc>
    <ndxf>
      <font>
        <sz val="10"/>
        <color rgb="FF4B4B4B"/>
        <name val="Arial"/>
        <scheme val="none"/>
      </font>
      <border outline="0">
        <bottom style="thin">
          <color theme="0" tint="-0.499984740745262"/>
        </bottom>
      </border>
    </ndxf>
  </rcc>
  <rcc rId="1415" sId="8" odxf="1" dxf="1" numFmtId="4">
    <nc r="AB49">
      <v>28486467</v>
    </nc>
    <ndxf>
      <font>
        <sz val="10"/>
        <color rgb="FF4B4B4B"/>
        <name val="Arial"/>
        <scheme val="none"/>
      </font>
    </ndxf>
  </rcc>
  <rcc rId="1416" sId="8" numFmtId="4">
    <nc r="AB45">
      <v>474615</v>
    </nc>
  </rcc>
  <rcc rId="1417" sId="8" numFmtId="4">
    <nc r="AB44">
      <v>1331601</v>
    </nc>
  </rcc>
  <rcc rId="1418" sId="8" numFmtId="4">
    <nc r="AB46">
      <v>471433</v>
    </nc>
  </rcc>
  <rcc rId="1419" sId="8" numFmtId="4">
    <nc r="AB47">
      <v>465787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CC22"/>
  <sheetViews>
    <sheetView tabSelected="1" workbookViewId="0"/>
  </sheetViews>
  <sheetFormatPr defaultRowHeight="15" x14ac:dyDescent="0.25"/>
  <cols>
    <col min="1" max="1" width="35.140625" style="12" customWidth="1"/>
    <col min="2" max="2" width="9.85546875" style="12" customWidth="1"/>
    <col min="3" max="3" width="2.7109375" style="12" customWidth="1"/>
    <col min="4" max="4" width="13.7109375" style="12" customWidth="1"/>
    <col min="5" max="5" width="2.7109375" style="12" customWidth="1"/>
    <col min="6" max="6" width="13.7109375" style="12" customWidth="1"/>
    <col min="7" max="8" width="2.7109375" style="12" customWidth="1"/>
    <col min="9" max="9" width="10.7109375" style="12" customWidth="1"/>
    <col min="10" max="10" width="2.7109375" style="12" customWidth="1"/>
    <col min="11" max="11" width="10.7109375" style="12" customWidth="1"/>
    <col min="12" max="13" width="4.7109375" style="12" customWidth="1"/>
    <col min="14" max="14" width="13.7109375" style="12" customWidth="1"/>
    <col min="15" max="15" width="2.7109375" style="12" customWidth="1"/>
    <col min="16" max="16" width="13.7109375" style="12" customWidth="1"/>
    <col min="17" max="18" width="2.7109375" style="12" customWidth="1"/>
    <col min="19" max="19" width="9.140625" style="12"/>
    <col min="20" max="20" width="2.7109375" style="12" customWidth="1"/>
    <col min="21" max="21" width="9.140625" style="12"/>
    <col min="22" max="22" width="6.5703125" style="12" customWidth="1"/>
    <col min="23" max="23" width="9.140625" style="12"/>
    <col min="24" max="24" width="2.7109375" style="12" customWidth="1"/>
    <col min="25" max="25" width="9.140625" style="12"/>
    <col min="26" max="26" width="4.85546875" style="12" customWidth="1"/>
    <col min="27" max="27" width="10.28515625" style="12" bestFit="1" customWidth="1"/>
    <col min="28" max="28" width="2.7109375" style="12" customWidth="1"/>
    <col min="29" max="29" width="10.140625" style="12" bestFit="1" customWidth="1"/>
    <col min="30" max="30" width="2.7109375" style="12" customWidth="1"/>
    <col min="31" max="31" width="10.28515625" style="12" bestFit="1" customWidth="1"/>
    <col min="32" max="32" width="2.7109375" style="12" customWidth="1"/>
    <col min="33" max="33" width="9.140625" style="12"/>
    <col min="34" max="34" width="2.7109375" style="12" customWidth="1"/>
    <col min="35" max="35" width="10.140625" style="12" bestFit="1" customWidth="1"/>
    <col min="36" max="36" width="2.7109375" style="12" customWidth="1"/>
    <col min="37" max="37" width="10.140625" style="12" bestFit="1" customWidth="1"/>
    <col min="38" max="38" width="2.7109375" style="12" customWidth="1"/>
    <col min="39" max="39" width="9.140625" style="12"/>
    <col min="40" max="40" width="2.7109375" style="12" customWidth="1"/>
    <col min="41" max="41" width="9.140625" style="12"/>
    <col min="42" max="42" width="2.7109375" style="12" customWidth="1"/>
    <col min="43" max="43" width="9.140625" style="12"/>
    <col min="44" max="44" width="2.7109375" style="12" customWidth="1"/>
    <col min="45" max="45" width="9.140625" style="12"/>
    <col min="46" max="46" width="2.7109375" style="12" customWidth="1"/>
    <col min="47" max="47" width="9.140625" style="12"/>
    <col min="48" max="48" width="2.7109375" style="12" customWidth="1"/>
    <col min="49" max="49" width="9.140625" style="12"/>
    <col min="50" max="50" width="2.7109375" style="12" customWidth="1"/>
    <col min="51" max="51" width="9.140625" style="12"/>
    <col min="52" max="52" width="2.7109375" style="12" customWidth="1"/>
    <col min="53" max="53" width="9.140625" style="12"/>
    <col min="54" max="54" width="2.7109375" style="12" customWidth="1"/>
    <col min="55" max="55" width="10.140625" style="12" bestFit="1" customWidth="1"/>
    <col min="56" max="56" width="2.7109375" style="12" customWidth="1"/>
    <col min="57" max="57" width="10.140625" style="12" bestFit="1" customWidth="1"/>
    <col min="58" max="58" width="2.7109375" style="12" customWidth="1"/>
    <col min="59" max="59" width="9.140625" style="12"/>
    <col min="60" max="60" width="2.7109375" style="12" customWidth="1"/>
    <col min="61" max="61" width="9.140625" style="12"/>
    <col min="62" max="62" width="2.7109375" style="12" customWidth="1"/>
    <col min="63" max="63" width="10.140625" style="12" bestFit="1" customWidth="1"/>
    <col min="64" max="64" width="2.7109375" style="12" customWidth="1"/>
    <col min="65" max="65" width="10.140625" style="12" bestFit="1" customWidth="1"/>
    <col min="66" max="66" width="2.7109375" style="12" customWidth="1"/>
    <col min="67" max="67" width="9.140625" style="12"/>
    <col min="68" max="68" width="2.7109375" style="12" customWidth="1"/>
    <col min="69" max="69" width="9.140625" style="12"/>
    <col min="70" max="70" width="2.7109375" style="12" customWidth="1"/>
    <col min="71" max="71" width="9.140625" style="12"/>
    <col min="72" max="72" width="2.7109375" style="12" customWidth="1"/>
    <col min="73" max="73" width="9.140625" style="12"/>
    <col min="74" max="74" width="2.7109375" style="12" customWidth="1"/>
    <col min="75" max="75" width="9.140625" style="12"/>
    <col min="76" max="76" width="2.7109375" style="12" customWidth="1"/>
    <col min="77" max="77" width="9.140625" style="12"/>
    <col min="78" max="78" width="2.7109375" style="12" customWidth="1"/>
    <col min="79" max="79" width="9.140625" style="12"/>
    <col min="80" max="80" width="2.7109375" style="12" customWidth="1"/>
    <col min="81" max="16384" width="9.140625" style="12"/>
  </cols>
  <sheetData>
    <row r="1" spans="1:81" ht="20.25" x14ac:dyDescent="0.25">
      <c r="A1" s="1" t="s">
        <v>0</v>
      </c>
      <c r="B1" s="2"/>
      <c r="C1" s="3"/>
      <c r="D1" s="3"/>
      <c r="E1" s="4"/>
      <c r="F1" s="3"/>
      <c r="G1" s="3"/>
      <c r="H1" s="3"/>
      <c r="I1" s="3"/>
      <c r="J1" s="4"/>
      <c r="K1" s="3"/>
      <c r="L1" s="3"/>
      <c r="M1" s="3"/>
      <c r="N1" s="3"/>
      <c r="O1" s="4"/>
      <c r="P1" s="3"/>
      <c r="Q1" s="3"/>
      <c r="R1" s="3"/>
      <c r="S1" s="3"/>
      <c r="T1" s="4"/>
      <c r="U1" s="3"/>
      <c r="V1" s="3"/>
      <c r="W1" s="3"/>
      <c r="X1" s="4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  <c r="AK1" s="3"/>
      <c r="AL1" s="4"/>
      <c r="AM1" s="3"/>
      <c r="AN1" s="4"/>
      <c r="AO1" s="3"/>
      <c r="AP1" s="4"/>
      <c r="AQ1" s="3"/>
      <c r="AR1" s="4"/>
      <c r="AS1" s="3"/>
      <c r="AT1" s="4"/>
      <c r="AU1" s="3"/>
      <c r="AV1" s="4"/>
      <c r="AW1" s="3"/>
      <c r="AX1" s="4"/>
      <c r="AY1" s="3"/>
      <c r="AZ1" s="4"/>
      <c r="BA1" s="3"/>
      <c r="BB1" s="4"/>
      <c r="BC1" s="5"/>
      <c r="BD1" s="4"/>
      <c r="BE1" s="5"/>
      <c r="BF1" s="4"/>
      <c r="BG1" s="5"/>
      <c r="BH1" s="4"/>
      <c r="BI1" s="5"/>
      <c r="BJ1" s="5"/>
      <c r="BK1" s="5"/>
      <c r="BL1" s="5"/>
      <c r="BM1" s="5"/>
      <c r="BN1" s="5"/>
      <c r="BO1" s="5"/>
      <c r="BP1" s="5"/>
      <c r="BQ1" s="5"/>
      <c r="BR1" s="5"/>
      <c r="BS1" s="6"/>
      <c r="BT1" s="7"/>
      <c r="BU1" s="7"/>
      <c r="BV1" s="7"/>
      <c r="BW1" s="6"/>
      <c r="BX1" s="7"/>
      <c r="BY1" s="7"/>
      <c r="BZ1" s="7"/>
      <c r="CA1" s="6"/>
      <c r="CB1" s="7"/>
      <c r="CC1" s="7"/>
    </row>
    <row r="2" spans="1:81" ht="43.5" customHeight="1" x14ac:dyDescent="0.25">
      <c r="A2" s="8"/>
      <c r="B2" s="9" t="s">
        <v>1</v>
      </c>
      <c r="C2" s="4"/>
      <c r="D2" s="10" t="s">
        <v>550</v>
      </c>
      <c r="F2" s="9" t="s">
        <v>8</v>
      </c>
      <c r="G2" s="4"/>
      <c r="H2" s="4"/>
      <c r="I2" s="10" t="s">
        <v>551</v>
      </c>
      <c r="J2" s="11"/>
      <c r="K2" s="9" t="s">
        <v>552</v>
      </c>
      <c r="L2" s="4"/>
      <c r="M2" s="4"/>
      <c r="N2" s="10" t="s">
        <v>518</v>
      </c>
      <c r="O2" s="11"/>
      <c r="P2" s="9" t="s">
        <v>519</v>
      </c>
      <c r="Q2" s="4"/>
      <c r="R2" s="4"/>
      <c r="S2" s="10" t="s">
        <v>516</v>
      </c>
      <c r="T2" s="11"/>
      <c r="U2" s="9" t="s">
        <v>517</v>
      </c>
      <c r="V2" s="4"/>
      <c r="W2" s="10" t="s">
        <v>2</v>
      </c>
      <c r="X2" s="11"/>
      <c r="Y2" s="9" t="s">
        <v>3</v>
      </c>
      <c r="Z2" s="4"/>
      <c r="AA2" s="9" t="s">
        <v>4</v>
      </c>
      <c r="AB2" s="4"/>
      <c r="AC2" s="9" t="s">
        <v>5</v>
      </c>
      <c r="AD2" s="4"/>
      <c r="AE2" s="9" t="s">
        <v>6</v>
      </c>
      <c r="AF2" s="11"/>
      <c r="AG2" s="9" t="s">
        <v>7</v>
      </c>
      <c r="AH2" s="4"/>
      <c r="AI2" s="9" t="s">
        <v>8</v>
      </c>
      <c r="AK2" s="9" t="s">
        <v>9</v>
      </c>
      <c r="AL2" s="11"/>
      <c r="AM2" s="9" t="s">
        <v>10</v>
      </c>
      <c r="AN2" s="11"/>
      <c r="AO2" s="9" t="s">
        <v>11</v>
      </c>
      <c r="AP2" s="11"/>
      <c r="AQ2" s="9" t="s">
        <v>12</v>
      </c>
      <c r="AR2" s="11"/>
      <c r="AS2" s="9" t="s">
        <v>13</v>
      </c>
      <c r="AT2" s="11"/>
      <c r="AU2" s="9" t="s">
        <v>14</v>
      </c>
      <c r="AV2" s="11"/>
      <c r="AW2" s="9" t="s">
        <v>15</v>
      </c>
      <c r="AX2" s="11"/>
      <c r="AY2" s="9" t="s">
        <v>16</v>
      </c>
      <c r="AZ2" s="11"/>
      <c r="BA2" s="9" t="s">
        <v>17</v>
      </c>
      <c r="BB2" s="11"/>
      <c r="BC2" s="9" t="s">
        <v>5</v>
      </c>
      <c r="BD2" s="11"/>
      <c r="BE2" s="9" t="s">
        <v>18</v>
      </c>
      <c r="BF2" s="11"/>
      <c r="BG2" s="9" t="s">
        <v>7</v>
      </c>
      <c r="BH2" s="13"/>
      <c r="BI2" s="9" t="s">
        <v>19</v>
      </c>
      <c r="BJ2" s="4"/>
      <c r="BK2" s="9" t="s">
        <v>9</v>
      </c>
      <c r="BL2" s="13"/>
      <c r="BM2" s="9" t="s">
        <v>20</v>
      </c>
      <c r="BN2" s="13"/>
      <c r="BO2" s="9" t="s">
        <v>21</v>
      </c>
      <c r="BP2" s="13"/>
      <c r="BQ2" s="9" t="s">
        <v>22</v>
      </c>
      <c r="BR2" s="13"/>
      <c r="BS2" s="9" t="s">
        <v>23</v>
      </c>
      <c r="BU2" s="9" t="s">
        <v>24</v>
      </c>
      <c r="BW2" s="9" t="s">
        <v>25</v>
      </c>
      <c r="BX2" s="13"/>
      <c r="BY2" s="9" t="s">
        <v>26</v>
      </c>
      <c r="BZ2" s="13"/>
      <c r="CA2" s="9" t="s">
        <v>27</v>
      </c>
      <c r="CC2" s="9" t="s">
        <v>28</v>
      </c>
    </row>
    <row r="3" spans="1:81" x14ac:dyDescent="0.25">
      <c r="A3" s="14" t="s">
        <v>29</v>
      </c>
      <c r="B3" s="15" t="s">
        <v>30</v>
      </c>
      <c r="C3" s="16"/>
      <c r="D3" s="17">
        <v>13123745</v>
      </c>
      <c r="E3" s="18"/>
      <c r="F3" s="19">
        <v>13634241</v>
      </c>
      <c r="G3" s="16"/>
      <c r="H3" s="16"/>
      <c r="I3" s="17">
        <v>4180888</v>
      </c>
      <c r="J3" s="18"/>
      <c r="K3" s="19">
        <v>4377627</v>
      </c>
      <c r="L3" s="16"/>
      <c r="M3" s="16"/>
      <c r="N3" s="17">
        <v>8942857</v>
      </c>
      <c r="O3" s="18"/>
      <c r="P3" s="19">
        <v>9256614</v>
      </c>
      <c r="Q3" s="16"/>
      <c r="R3" s="16"/>
      <c r="S3" s="17">
        <v>4295822</v>
      </c>
      <c r="T3" s="18"/>
      <c r="U3" s="19">
        <v>4466828</v>
      </c>
      <c r="V3" s="16"/>
      <c r="W3" s="17">
        <v>4647035</v>
      </c>
      <c r="X3" s="18"/>
      <c r="Y3" s="19">
        <v>4789786</v>
      </c>
      <c r="Z3" s="16"/>
      <c r="AA3" s="19">
        <v>18375224</v>
      </c>
      <c r="AB3" s="16"/>
      <c r="AC3" s="19">
        <v>18577479</v>
      </c>
      <c r="AD3" s="16"/>
      <c r="AE3" s="19">
        <v>4740983</v>
      </c>
      <c r="AF3" s="16"/>
      <c r="AG3" s="19">
        <v>4859798</v>
      </c>
      <c r="AH3" s="16"/>
      <c r="AI3" s="19">
        <v>13634241</v>
      </c>
      <c r="AJ3" s="18"/>
      <c r="AK3" s="19">
        <v>13717681</v>
      </c>
      <c r="AL3" s="18"/>
      <c r="AM3" s="19">
        <v>4377627</v>
      </c>
      <c r="AN3" s="18"/>
      <c r="AO3" s="19">
        <v>4412231</v>
      </c>
      <c r="AP3" s="18"/>
      <c r="AQ3" s="19">
        <v>9184291</v>
      </c>
      <c r="AR3" s="18"/>
      <c r="AS3" s="19">
        <v>9226315</v>
      </c>
      <c r="AT3" s="18"/>
      <c r="AU3" s="19">
        <v>4430475</v>
      </c>
      <c r="AV3" s="18"/>
      <c r="AW3" s="19">
        <v>4339051</v>
      </c>
      <c r="AX3" s="18"/>
      <c r="AY3" s="19">
        <v>4753816</v>
      </c>
      <c r="AZ3" s="18"/>
      <c r="BA3" s="19">
        <v>4887264</v>
      </c>
      <c r="BB3" s="18"/>
      <c r="BC3" s="19">
        <v>18440763</v>
      </c>
      <c r="BD3" s="18"/>
      <c r="BE3" s="19">
        <v>19131122</v>
      </c>
      <c r="BF3" s="18"/>
      <c r="BG3" s="19">
        <v>4837662</v>
      </c>
      <c r="BH3" s="18"/>
      <c r="BI3" s="19">
        <v>4917418</v>
      </c>
      <c r="BJ3" s="11"/>
      <c r="BK3" s="19">
        <v>13603101</v>
      </c>
      <c r="BL3" s="13"/>
      <c r="BM3" s="19">
        <v>14213704</v>
      </c>
      <c r="BN3" s="13"/>
      <c r="BO3" s="19">
        <v>4376786</v>
      </c>
      <c r="BP3" s="13"/>
      <c r="BQ3" s="19">
        <v>4540102</v>
      </c>
      <c r="BR3" s="13"/>
      <c r="BS3" s="19">
        <v>9226315</v>
      </c>
      <c r="BU3" s="19">
        <v>9706524</v>
      </c>
      <c r="BW3" s="19">
        <v>4339051</v>
      </c>
      <c r="BX3" s="13"/>
      <c r="BY3" s="19">
        <v>4542422</v>
      </c>
      <c r="BZ3" s="13"/>
      <c r="CA3" s="19">
        <v>4887264</v>
      </c>
      <c r="CC3" s="19">
        <v>5164102</v>
      </c>
    </row>
    <row r="4" spans="1:81" x14ac:dyDescent="0.25">
      <c r="A4" s="20" t="s">
        <v>31</v>
      </c>
      <c r="B4" s="16" t="s">
        <v>30</v>
      </c>
      <c r="C4" s="16"/>
      <c r="D4" s="21">
        <v>2457512</v>
      </c>
      <c r="E4" s="18"/>
      <c r="F4" s="22">
        <v>2841076</v>
      </c>
      <c r="G4" s="16"/>
      <c r="H4" s="16"/>
      <c r="I4" s="21">
        <v>804106</v>
      </c>
      <c r="J4" s="18"/>
      <c r="K4" s="22">
        <v>933204</v>
      </c>
      <c r="L4" s="16"/>
      <c r="M4" s="16"/>
      <c r="N4" s="21">
        <v>1653406</v>
      </c>
      <c r="O4" s="18"/>
      <c r="P4" s="22">
        <v>1907872</v>
      </c>
      <c r="Q4" s="16"/>
      <c r="R4" s="16"/>
      <c r="S4" s="21">
        <v>780493</v>
      </c>
      <c r="T4" s="18"/>
      <c r="U4" s="22">
        <v>892937</v>
      </c>
      <c r="V4" s="16"/>
      <c r="W4" s="21">
        <v>872913</v>
      </c>
      <c r="X4" s="18"/>
      <c r="Y4" s="22">
        <v>1014935</v>
      </c>
      <c r="Z4" s="16"/>
      <c r="AA4" s="22">
        <v>3523303</v>
      </c>
      <c r="AB4" s="16"/>
      <c r="AC4" s="22">
        <v>3694544</v>
      </c>
      <c r="AD4" s="16"/>
      <c r="AE4" s="22">
        <v>682227</v>
      </c>
      <c r="AF4" s="16"/>
      <c r="AG4" s="22">
        <v>769168</v>
      </c>
      <c r="AH4" s="16"/>
      <c r="AI4" s="22">
        <v>2841076</v>
      </c>
      <c r="AJ4" s="18"/>
      <c r="AK4" s="22">
        <v>2925376</v>
      </c>
      <c r="AL4" s="18"/>
      <c r="AM4" s="22">
        <v>933204</v>
      </c>
      <c r="AN4" s="18"/>
      <c r="AO4" s="22">
        <v>920761</v>
      </c>
      <c r="AP4" s="18"/>
      <c r="AQ4" s="22">
        <v>1914860</v>
      </c>
      <c r="AR4" s="18"/>
      <c r="AS4" s="22">
        <v>1994598</v>
      </c>
      <c r="AT4" s="18"/>
      <c r="AU4" s="22">
        <v>894004</v>
      </c>
      <c r="AV4" s="18"/>
      <c r="AW4" s="22">
        <v>906390</v>
      </c>
      <c r="AX4" s="18"/>
      <c r="AY4" s="22">
        <v>1020856</v>
      </c>
      <c r="AZ4" s="18"/>
      <c r="BA4" s="22">
        <v>1088208</v>
      </c>
      <c r="BB4" s="18"/>
      <c r="BC4" s="22">
        <v>3627100</v>
      </c>
      <c r="BD4" s="18"/>
      <c r="BE4" s="22">
        <v>3661484</v>
      </c>
      <c r="BF4" s="18"/>
      <c r="BG4" s="22">
        <v>711791</v>
      </c>
      <c r="BH4" s="18"/>
      <c r="BI4" s="22">
        <v>660767</v>
      </c>
      <c r="BJ4" s="18"/>
      <c r="BK4" s="22">
        <v>2915309</v>
      </c>
      <c r="BL4" s="13"/>
      <c r="BM4" s="22">
        <v>3000717</v>
      </c>
      <c r="BN4" s="13"/>
      <c r="BO4" s="22">
        <v>920711</v>
      </c>
      <c r="BP4" s="13"/>
      <c r="BQ4" s="22">
        <v>947054</v>
      </c>
      <c r="BR4" s="13"/>
      <c r="BS4" s="22">
        <v>1994598</v>
      </c>
      <c r="BU4" s="22">
        <v>2053663</v>
      </c>
      <c r="BW4" s="22">
        <v>906390</v>
      </c>
      <c r="BX4" s="13"/>
      <c r="BY4" s="22">
        <v>831507</v>
      </c>
      <c r="BZ4" s="13"/>
      <c r="CA4" s="22">
        <v>1088208</v>
      </c>
      <c r="CC4" s="22">
        <v>1222156</v>
      </c>
    </row>
    <row r="5" spans="1:81" x14ac:dyDescent="0.25">
      <c r="A5" s="20" t="s">
        <v>32</v>
      </c>
      <c r="B5" s="16" t="s">
        <v>30</v>
      </c>
      <c r="C5" s="16"/>
      <c r="D5" s="21">
        <v>276132</v>
      </c>
      <c r="E5" s="18"/>
      <c r="F5" s="22">
        <v>1079155</v>
      </c>
      <c r="G5" s="16"/>
      <c r="H5" s="16"/>
      <c r="I5" s="21">
        <v>271415</v>
      </c>
      <c r="J5" s="18"/>
      <c r="K5" s="22">
        <v>358768</v>
      </c>
      <c r="L5" s="16"/>
      <c r="M5" s="16"/>
      <c r="N5" s="21">
        <v>4717</v>
      </c>
      <c r="O5" s="18"/>
      <c r="P5" s="22">
        <v>718524</v>
      </c>
      <c r="Q5" s="16"/>
      <c r="R5" s="16"/>
      <c r="S5" s="139">
        <v>-319089</v>
      </c>
      <c r="T5" s="18"/>
      <c r="U5" s="22">
        <v>216481</v>
      </c>
      <c r="V5" s="16"/>
      <c r="W5" s="21">
        <v>323806</v>
      </c>
      <c r="X5" s="18"/>
      <c r="Y5" s="22">
        <v>502730</v>
      </c>
      <c r="Z5" s="16"/>
      <c r="AA5" s="23">
        <v>-1804215</v>
      </c>
      <c r="AB5" s="16"/>
      <c r="AC5" s="22">
        <v>1185560</v>
      </c>
      <c r="AD5" s="16"/>
      <c r="AE5" s="23">
        <v>-2883370</v>
      </c>
      <c r="AF5" s="16"/>
      <c r="AG5" s="22">
        <v>132502</v>
      </c>
      <c r="AH5" s="16"/>
      <c r="AI5" s="22">
        <v>1079155</v>
      </c>
      <c r="AJ5" s="18"/>
      <c r="AK5" s="22">
        <v>1053058</v>
      </c>
      <c r="AL5" s="18"/>
      <c r="AM5" s="22">
        <v>358768</v>
      </c>
      <c r="AN5" s="18"/>
      <c r="AO5" s="22">
        <v>319136</v>
      </c>
      <c r="AP5" s="18"/>
      <c r="AQ5" s="22">
        <v>720387</v>
      </c>
      <c r="AR5" s="18"/>
      <c r="AS5" s="22">
        <v>733922</v>
      </c>
      <c r="AT5" s="18"/>
      <c r="AU5" s="22">
        <v>217657</v>
      </c>
      <c r="AV5" s="18"/>
      <c r="AW5" s="22">
        <v>335236</v>
      </c>
      <c r="AX5" s="18"/>
      <c r="AY5" s="22">
        <v>502730</v>
      </c>
      <c r="AZ5" s="18"/>
      <c r="BA5" s="22">
        <v>398686</v>
      </c>
      <c r="BB5" s="18"/>
      <c r="BC5" s="22">
        <v>1185560</v>
      </c>
      <c r="BD5" s="18"/>
      <c r="BE5" s="22">
        <v>1346485</v>
      </c>
      <c r="BF5" s="18"/>
      <c r="BG5" s="22">
        <v>283172</v>
      </c>
      <c r="BH5" s="18"/>
      <c r="BI5" s="22">
        <v>220690</v>
      </c>
      <c r="BJ5" s="18"/>
      <c r="BK5" s="22">
        <v>1053058</v>
      </c>
      <c r="BL5" s="13"/>
      <c r="BM5" s="22">
        <v>1264187</v>
      </c>
      <c r="BN5" s="13"/>
      <c r="BO5" s="22">
        <v>319136</v>
      </c>
      <c r="BP5" s="13"/>
      <c r="BQ5" s="22">
        <v>372305</v>
      </c>
      <c r="BR5" s="13"/>
      <c r="BS5" s="22">
        <v>733922</v>
      </c>
      <c r="BU5" s="22">
        <v>891882</v>
      </c>
      <c r="BW5" s="22">
        <v>335236</v>
      </c>
      <c r="BX5" s="13"/>
      <c r="BY5" s="22">
        <v>311084</v>
      </c>
      <c r="BZ5" s="13"/>
      <c r="CA5" s="22">
        <v>398686</v>
      </c>
      <c r="CC5" s="22">
        <v>580798</v>
      </c>
    </row>
    <row r="6" spans="1:81" x14ac:dyDescent="0.25">
      <c r="A6" s="20" t="s">
        <v>33</v>
      </c>
      <c r="B6" s="16" t="s">
        <v>30</v>
      </c>
      <c r="C6" s="16"/>
      <c r="D6" s="21">
        <v>2449817</v>
      </c>
      <c r="E6" s="18"/>
      <c r="F6" s="18">
        <v>2778872</v>
      </c>
      <c r="G6" s="16"/>
      <c r="H6" s="16"/>
      <c r="I6" s="21">
        <v>997687</v>
      </c>
      <c r="J6" s="18"/>
      <c r="K6" s="18">
        <v>1008145</v>
      </c>
      <c r="L6" s="16"/>
      <c r="M6" s="16"/>
      <c r="N6" s="21">
        <v>1452130</v>
      </c>
      <c r="O6" s="18"/>
      <c r="P6" s="22">
        <v>1770727</v>
      </c>
      <c r="Q6" s="16"/>
      <c r="R6" s="16"/>
      <c r="S6" s="21">
        <v>798407</v>
      </c>
      <c r="T6" s="18"/>
      <c r="U6" s="22">
        <v>979049</v>
      </c>
      <c r="V6" s="16"/>
      <c r="W6" s="21">
        <v>653723</v>
      </c>
      <c r="X6" s="18"/>
      <c r="Y6" s="22">
        <v>791678</v>
      </c>
      <c r="Z6" s="16"/>
      <c r="AA6" s="22">
        <v>4175470</v>
      </c>
      <c r="AB6" s="16"/>
      <c r="AC6" s="22">
        <v>3089592</v>
      </c>
      <c r="AD6" s="16"/>
      <c r="AE6" s="22">
        <v>1396598</v>
      </c>
      <c r="AF6" s="16"/>
      <c r="AG6" s="22">
        <v>1079388</v>
      </c>
      <c r="AH6" s="16"/>
      <c r="AI6" s="22">
        <v>2778872</v>
      </c>
      <c r="AJ6" s="18"/>
      <c r="AK6" s="22">
        <v>2010204</v>
      </c>
      <c r="AL6" s="18"/>
      <c r="AM6" s="22">
        <v>1008145</v>
      </c>
      <c r="AN6" s="18"/>
      <c r="AO6" s="22">
        <v>760127</v>
      </c>
      <c r="AP6" s="18"/>
      <c r="AQ6" s="22">
        <v>1770727</v>
      </c>
      <c r="AR6" s="18"/>
      <c r="AS6" s="22">
        <v>1250077</v>
      </c>
      <c r="AT6" s="18"/>
      <c r="AU6" s="22">
        <v>979049</v>
      </c>
      <c r="AV6" s="18"/>
      <c r="AW6" s="22">
        <v>684767</v>
      </c>
      <c r="AX6" s="18"/>
      <c r="AY6" s="22">
        <v>791678</v>
      </c>
      <c r="AZ6" s="18"/>
      <c r="BA6" s="22">
        <v>565310</v>
      </c>
      <c r="BB6" s="18"/>
      <c r="BC6" s="22">
        <v>3089592</v>
      </c>
      <c r="BD6" s="24"/>
      <c r="BE6" s="22">
        <v>3779555</v>
      </c>
      <c r="BF6" s="24"/>
      <c r="BG6" s="22">
        <v>1079388</v>
      </c>
      <c r="BH6" s="24"/>
      <c r="BI6" s="22">
        <v>1411162</v>
      </c>
      <c r="BJ6" s="18"/>
      <c r="BK6" s="22">
        <v>2010204</v>
      </c>
      <c r="BL6" s="13"/>
      <c r="BM6" s="22">
        <v>2368393</v>
      </c>
      <c r="BN6" s="13"/>
      <c r="BO6" s="22">
        <v>760127</v>
      </c>
      <c r="BP6" s="13"/>
      <c r="BQ6" s="22">
        <v>1018451</v>
      </c>
      <c r="BR6" s="13"/>
      <c r="BS6" s="22">
        <v>1250077</v>
      </c>
      <c r="BU6" s="22">
        <v>1349942</v>
      </c>
      <c r="BW6" s="22">
        <v>684767</v>
      </c>
      <c r="BX6" s="13"/>
      <c r="BY6" s="22">
        <v>809087</v>
      </c>
      <c r="BZ6" s="13"/>
      <c r="CA6" s="22">
        <v>565310</v>
      </c>
      <c r="CC6" s="22">
        <v>540855</v>
      </c>
    </row>
    <row r="7" spans="1:81" x14ac:dyDescent="0.25">
      <c r="A7" s="25" t="s">
        <v>34</v>
      </c>
      <c r="B7" s="26"/>
      <c r="C7" s="26"/>
      <c r="D7" s="27">
        <v>2.64</v>
      </c>
      <c r="E7" s="28"/>
      <c r="F7" s="29">
        <v>1.97</v>
      </c>
      <c r="G7" s="26"/>
      <c r="H7" s="26"/>
      <c r="I7" s="27">
        <v>2.64</v>
      </c>
      <c r="J7" s="28"/>
      <c r="K7" s="29">
        <v>1.97</v>
      </c>
      <c r="L7" s="26"/>
      <c r="M7" s="26"/>
      <c r="N7" s="27">
        <v>2.577</v>
      </c>
      <c r="O7" s="28"/>
      <c r="P7" s="29">
        <v>1.97</v>
      </c>
      <c r="Q7" s="26"/>
      <c r="R7" s="26"/>
      <c r="S7" s="27">
        <v>2.577</v>
      </c>
      <c r="T7" s="28"/>
      <c r="U7" s="29">
        <v>1.97</v>
      </c>
      <c r="V7" s="26"/>
      <c r="W7" s="27">
        <v>2.5</v>
      </c>
      <c r="X7" s="28"/>
      <c r="Y7" s="29">
        <v>1.91</v>
      </c>
      <c r="Z7" s="26"/>
      <c r="AA7" s="29">
        <v>2.2000000000000002</v>
      </c>
      <c r="AB7" s="24"/>
      <c r="AC7" s="29">
        <v>1.8</v>
      </c>
      <c r="AD7" s="16"/>
      <c r="AE7" s="29">
        <v>2.2000000000000002</v>
      </c>
      <c r="AF7" s="16"/>
      <c r="AG7" s="29">
        <v>1.8</v>
      </c>
      <c r="AH7" s="16"/>
      <c r="AI7" s="29">
        <v>1.97</v>
      </c>
      <c r="AJ7" s="28"/>
      <c r="AK7" s="29">
        <v>1.73</v>
      </c>
      <c r="AL7" s="28"/>
      <c r="AM7" s="29">
        <v>1.97</v>
      </c>
      <c r="AN7" s="28"/>
      <c r="AO7" s="29">
        <v>1.73</v>
      </c>
      <c r="AP7" s="28"/>
      <c r="AQ7" s="29">
        <v>1.9349940723994377</v>
      </c>
      <c r="AR7" s="28"/>
      <c r="AS7" s="29">
        <v>1.68</v>
      </c>
      <c r="AT7" s="28"/>
      <c r="AU7" s="29">
        <v>1.9349940723994377</v>
      </c>
      <c r="AV7" s="28"/>
      <c r="AW7" s="29">
        <v>1.68</v>
      </c>
      <c r="AX7" s="28"/>
      <c r="AY7" s="29">
        <v>1.91</v>
      </c>
      <c r="AZ7" s="28"/>
      <c r="BA7" s="29">
        <v>1.68</v>
      </c>
      <c r="BB7" s="28"/>
      <c r="BC7" s="29">
        <v>1.85</v>
      </c>
      <c r="BD7" s="28"/>
      <c r="BE7" s="29">
        <v>1.43</v>
      </c>
      <c r="BF7" s="28"/>
      <c r="BG7" s="29">
        <v>1.85</v>
      </c>
      <c r="BH7" s="28"/>
      <c r="BI7" s="29">
        <v>1.43</v>
      </c>
      <c r="BJ7" s="24"/>
      <c r="BK7" s="29">
        <v>1.7279887062185715</v>
      </c>
      <c r="BL7" s="13"/>
      <c r="BM7" s="29">
        <v>1.1851646020713575</v>
      </c>
      <c r="BN7" s="13"/>
      <c r="BO7" s="29">
        <v>1.7279887062185715</v>
      </c>
      <c r="BP7" s="13"/>
      <c r="BQ7" s="29">
        <v>1.1851646020713575</v>
      </c>
      <c r="BR7" s="13"/>
      <c r="BS7" s="29">
        <v>1.68</v>
      </c>
      <c r="BU7" s="29">
        <v>1.31</v>
      </c>
      <c r="BW7" s="29">
        <v>1.68</v>
      </c>
      <c r="BX7" s="13"/>
      <c r="BY7" s="29">
        <v>1.31</v>
      </c>
      <c r="BZ7" s="13"/>
      <c r="CA7" s="29">
        <v>1.68</v>
      </c>
      <c r="CC7" s="29">
        <v>1.33</v>
      </c>
    </row>
    <row r="8" spans="1:81" x14ac:dyDescent="0.25">
      <c r="A8" s="8"/>
      <c r="B8" s="30"/>
      <c r="C8" s="30"/>
      <c r="D8" s="30"/>
      <c r="E8" s="28"/>
      <c r="F8" s="30"/>
      <c r="G8" s="30"/>
      <c r="H8" s="30"/>
      <c r="I8" s="30"/>
      <c r="J8" s="28"/>
      <c r="K8" s="30"/>
      <c r="L8" s="30"/>
      <c r="M8" s="30"/>
      <c r="N8" s="30"/>
      <c r="O8" s="28"/>
      <c r="P8" s="30"/>
      <c r="Q8" s="30"/>
      <c r="R8" s="30"/>
      <c r="S8" s="30"/>
      <c r="T8" s="28"/>
      <c r="U8" s="30"/>
      <c r="V8" s="30"/>
      <c r="W8" s="30"/>
      <c r="X8" s="28"/>
      <c r="Y8" s="30"/>
      <c r="Z8" s="30"/>
      <c r="AA8" s="30"/>
      <c r="AB8" s="16"/>
      <c r="AC8" s="30"/>
      <c r="AD8" s="16"/>
      <c r="AE8" s="30"/>
      <c r="AF8" s="16"/>
      <c r="AG8" s="30"/>
      <c r="AH8" s="16"/>
      <c r="AI8" s="30"/>
      <c r="AJ8" s="28"/>
      <c r="AK8" s="30"/>
      <c r="AL8" s="28"/>
      <c r="AM8" s="30"/>
      <c r="AN8" s="28"/>
      <c r="AO8" s="30"/>
      <c r="AP8" s="28"/>
      <c r="AQ8" s="30"/>
      <c r="AR8" s="28"/>
      <c r="AS8" s="30"/>
      <c r="AT8" s="28"/>
      <c r="AU8" s="30"/>
      <c r="AV8" s="28"/>
      <c r="AW8" s="30"/>
      <c r="AX8" s="28"/>
      <c r="AY8" s="30"/>
      <c r="AZ8" s="28"/>
      <c r="BA8" s="30"/>
      <c r="BB8" s="28"/>
      <c r="BC8" s="31"/>
      <c r="BD8" s="28"/>
      <c r="BE8" s="31"/>
      <c r="BF8" s="28"/>
      <c r="BG8" s="31"/>
      <c r="BH8" s="28"/>
      <c r="BI8" s="31"/>
      <c r="BJ8" s="28"/>
      <c r="BK8" s="31"/>
      <c r="BL8" s="13"/>
      <c r="BM8" s="31"/>
      <c r="BN8" s="13"/>
      <c r="BO8" s="31"/>
      <c r="BP8" s="13"/>
      <c r="BQ8" s="31"/>
      <c r="BR8" s="13"/>
      <c r="BS8" s="31"/>
      <c r="BU8" s="31"/>
      <c r="BW8" s="31"/>
      <c r="BX8" s="13"/>
      <c r="BY8" s="31"/>
      <c r="BZ8" s="13"/>
      <c r="CA8" s="31"/>
      <c r="CC8" s="31"/>
    </row>
    <row r="9" spans="1:81" x14ac:dyDescent="0.25">
      <c r="A9" s="8"/>
      <c r="B9" s="30"/>
      <c r="C9" s="30"/>
      <c r="D9" s="30"/>
      <c r="E9" s="11"/>
      <c r="F9" s="30"/>
      <c r="G9" s="30"/>
      <c r="H9" s="30"/>
      <c r="I9" s="30"/>
      <c r="J9" s="11"/>
      <c r="K9" s="30"/>
      <c r="L9" s="30"/>
      <c r="M9" s="30"/>
      <c r="N9" s="30"/>
      <c r="O9" s="11"/>
      <c r="P9" s="30"/>
      <c r="Q9" s="30"/>
      <c r="R9" s="30"/>
      <c r="S9" s="30"/>
      <c r="T9" s="11"/>
      <c r="U9" s="30"/>
      <c r="V9" s="30"/>
      <c r="W9" s="30"/>
      <c r="X9" s="11"/>
      <c r="Y9" s="30"/>
      <c r="Z9" s="30"/>
      <c r="AA9" s="30"/>
      <c r="AB9" s="16"/>
      <c r="AC9" s="30"/>
      <c r="AD9" s="16"/>
      <c r="AE9" s="30"/>
      <c r="AF9" s="16"/>
      <c r="AG9" s="30"/>
      <c r="AH9" s="16"/>
      <c r="AI9" s="30"/>
      <c r="AJ9" s="11"/>
      <c r="AK9" s="30"/>
      <c r="AL9" s="11"/>
      <c r="AM9" s="30"/>
      <c r="AN9" s="11"/>
      <c r="AO9" s="30"/>
      <c r="AP9" s="11"/>
      <c r="AQ9" s="30"/>
      <c r="AR9" s="11"/>
      <c r="AS9" s="30"/>
      <c r="AT9" s="11"/>
      <c r="AU9" s="30"/>
      <c r="AV9" s="11"/>
      <c r="AW9" s="30"/>
      <c r="AX9" s="11"/>
      <c r="AY9" s="30"/>
      <c r="AZ9" s="11"/>
      <c r="BA9" s="30"/>
      <c r="BB9" s="11"/>
      <c r="BC9" s="31"/>
      <c r="BD9" s="11"/>
      <c r="BE9" s="31"/>
      <c r="BF9" s="11"/>
      <c r="BG9" s="31"/>
      <c r="BH9" s="11"/>
      <c r="BI9" s="31"/>
      <c r="BJ9" s="28"/>
      <c r="BK9" s="31"/>
      <c r="BL9" s="13"/>
      <c r="BM9" s="31"/>
      <c r="BN9" s="13"/>
      <c r="BO9" s="31"/>
      <c r="BP9" s="13"/>
      <c r="BQ9" s="31"/>
      <c r="BR9" s="13"/>
      <c r="BS9" s="31"/>
      <c r="BU9" s="31"/>
      <c r="BW9" s="31"/>
      <c r="BX9" s="13"/>
      <c r="BY9" s="31"/>
      <c r="BZ9" s="13"/>
      <c r="CA9" s="31"/>
      <c r="CC9" s="31"/>
    </row>
    <row r="10" spans="1:81" x14ac:dyDescent="0.25">
      <c r="A10" s="20"/>
      <c r="B10" s="16"/>
      <c r="C10" s="16"/>
      <c r="D10" s="16"/>
      <c r="E10" s="32"/>
      <c r="F10" s="16"/>
      <c r="G10" s="16"/>
      <c r="H10" s="16"/>
      <c r="I10" s="16"/>
      <c r="J10" s="32"/>
      <c r="K10" s="16"/>
      <c r="L10" s="16"/>
      <c r="M10" s="16"/>
      <c r="N10" s="16"/>
      <c r="O10" s="32"/>
      <c r="P10" s="16"/>
      <c r="Q10" s="16"/>
      <c r="R10" s="16"/>
      <c r="S10" s="16"/>
      <c r="T10" s="32"/>
      <c r="U10" s="16"/>
      <c r="V10" s="16"/>
      <c r="W10" s="16"/>
      <c r="X10" s="32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32"/>
      <c r="AK10" s="16"/>
      <c r="AL10" s="32"/>
      <c r="AM10" s="16"/>
      <c r="AN10" s="32"/>
      <c r="AO10" s="16"/>
      <c r="AP10" s="32"/>
      <c r="AQ10" s="16"/>
      <c r="AR10" s="32"/>
      <c r="AS10" s="16"/>
      <c r="AT10" s="32"/>
      <c r="AU10" s="16"/>
      <c r="AV10" s="32"/>
      <c r="AW10" s="16"/>
      <c r="AX10" s="32"/>
      <c r="AY10" s="16"/>
      <c r="AZ10" s="32"/>
      <c r="BA10" s="16"/>
      <c r="BB10" s="32"/>
      <c r="BC10" s="11"/>
      <c r="BD10" s="32"/>
      <c r="BE10" s="11"/>
      <c r="BF10" s="32"/>
      <c r="BG10" s="11"/>
      <c r="BH10" s="32"/>
      <c r="BI10" s="11"/>
      <c r="BJ10" s="11"/>
      <c r="BK10" s="11"/>
      <c r="BL10" s="33"/>
      <c r="BM10" s="11"/>
      <c r="BN10" s="33"/>
      <c r="BO10" s="11"/>
      <c r="BP10" s="33"/>
      <c r="BQ10" s="11"/>
      <c r="BR10" s="33"/>
      <c r="BS10" s="11"/>
      <c r="BT10" s="34"/>
      <c r="BU10" s="11"/>
      <c r="BV10" s="34"/>
      <c r="BW10" s="11"/>
      <c r="BX10" s="33"/>
      <c r="BY10" s="11"/>
      <c r="BZ10" s="33"/>
      <c r="CA10" s="11"/>
      <c r="CB10" s="34"/>
      <c r="CC10" s="11"/>
    </row>
    <row r="11" spans="1:81" x14ac:dyDescent="0.25">
      <c r="A11" s="20"/>
      <c r="B11" s="16"/>
      <c r="C11" s="16"/>
      <c r="D11" s="16"/>
      <c r="E11" s="18"/>
      <c r="F11" s="16"/>
      <c r="G11" s="16"/>
      <c r="H11" s="16"/>
      <c r="I11" s="16"/>
      <c r="J11" s="18"/>
      <c r="K11" s="16"/>
      <c r="L11" s="16"/>
      <c r="M11" s="16"/>
      <c r="N11" s="16"/>
      <c r="O11" s="18"/>
      <c r="P11" s="16"/>
      <c r="Q11" s="16"/>
      <c r="R11" s="16"/>
      <c r="S11" s="16"/>
      <c r="T11" s="18"/>
      <c r="U11" s="16"/>
      <c r="V11" s="16"/>
      <c r="W11" s="16"/>
      <c r="X11" s="18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8"/>
      <c r="AK11" s="16"/>
      <c r="AL11" s="18"/>
      <c r="AM11" s="16"/>
      <c r="AN11" s="18"/>
      <c r="AO11" s="16"/>
      <c r="AP11" s="18"/>
      <c r="AQ11" s="16"/>
      <c r="AR11" s="18"/>
      <c r="AS11" s="16"/>
      <c r="AT11" s="18"/>
      <c r="AU11" s="16"/>
      <c r="AV11" s="18"/>
      <c r="AW11" s="16"/>
      <c r="AX11" s="18"/>
      <c r="AY11" s="16"/>
      <c r="AZ11" s="18"/>
      <c r="BA11" s="16"/>
      <c r="BB11" s="18"/>
      <c r="BC11" s="32"/>
      <c r="BD11" s="18"/>
      <c r="BE11" s="32"/>
      <c r="BF11" s="18"/>
      <c r="BG11" s="32"/>
      <c r="BH11" s="18"/>
      <c r="BI11" s="32"/>
      <c r="BJ11" s="32"/>
      <c r="BK11" s="32"/>
      <c r="BL11" s="33"/>
      <c r="BM11" s="32"/>
      <c r="BN11" s="33"/>
      <c r="BO11" s="32"/>
      <c r="BP11" s="33"/>
      <c r="BQ11" s="32"/>
      <c r="BR11" s="33"/>
      <c r="BS11" s="32"/>
      <c r="BT11" s="34"/>
      <c r="BU11" s="32"/>
      <c r="BV11" s="34"/>
      <c r="BW11" s="32"/>
      <c r="BX11" s="33"/>
      <c r="BY11" s="32"/>
      <c r="BZ11" s="33"/>
      <c r="CA11" s="32"/>
      <c r="CB11" s="34"/>
      <c r="CC11" s="32"/>
    </row>
    <row r="12" spans="1:81" x14ac:dyDescent="0.25">
      <c r="A12" s="20"/>
      <c r="B12" s="16"/>
      <c r="C12" s="16"/>
      <c r="D12" s="16"/>
      <c r="E12" s="35"/>
      <c r="F12" s="16"/>
      <c r="G12" s="16"/>
      <c r="H12" s="16"/>
      <c r="I12" s="16"/>
      <c r="J12" s="35"/>
      <c r="K12" s="16"/>
      <c r="L12" s="16"/>
      <c r="M12" s="16"/>
      <c r="N12" s="16"/>
      <c r="O12" s="35"/>
      <c r="P12" s="16"/>
      <c r="Q12" s="16"/>
      <c r="R12" s="16"/>
      <c r="S12" s="16"/>
      <c r="T12" s="35"/>
      <c r="U12" s="16"/>
      <c r="V12" s="16"/>
      <c r="W12" s="16"/>
      <c r="X12" s="35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35"/>
      <c r="AK12" s="16"/>
      <c r="AL12" s="35"/>
      <c r="AM12" s="16"/>
      <c r="AN12" s="35"/>
      <c r="AO12" s="16"/>
      <c r="AP12" s="35"/>
      <c r="AQ12" s="16"/>
      <c r="AR12" s="35"/>
      <c r="AS12" s="16"/>
      <c r="AT12" s="35"/>
      <c r="AU12" s="16"/>
      <c r="AV12" s="35"/>
      <c r="AW12" s="16"/>
      <c r="AX12" s="35"/>
      <c r="AY12" s="16"/>
      <c r="AZ12" s="35"/>
      <c r="BA12" s="16"/>
      <c r="BB12" s="35"/>
      <c r="BC12" s="18"/>
      <c r="BD12" s="35"/>
      <c r="BE12" s="18"/>
      <c r="BF12" s="35"/>
      <c r="BG12" s="18"/>
      <c r="BH12" s="35"/>
      <c r="BI12" s="18"/>
      <c r="BJ12" s="18"/>
      <c r="BK12" s="18"/>
      <c r="BL12" s="33"/>
      <c r="BM12" s="18"/>
      <c r="BN12" s="33"/>
      <c r="BO12" s="18"/>
      <c r="BP12" s="33"/>
      <c r="BQ12" s="18"/>
      <c r="BR12" s="33"/>
      <c r="BS12" s="36"/>
      <c r="BT12" s="34"/>
      <c r="BU12" s="18"/>
      <c r="BV12" s="34"/>
      <c r="BW12" s="36"/>
      <c r="BX12" s="33"/>
      <c r="BY12" s="18"/>
      <c r="BZ12" s="33"/>
      <c r="CA12" s="36"/>
      <c r="CB12" s="34"/>
      <c r="CC12" s="18"/>
    </row>
    <row r="13" spans="1:81" x14ac:dyDescent="0.25">
      <c r="A13" s="20"/>
      <c r="B13" s="16"/>
      <c r="C13" s="16"/>
      <c r="D13" s="16"/>
      <c r="E13" s="11"/>
      <c r="F13" s="16"/>
      <c r="G13" s="16"/>
      <c r="H13" s="16"/>
      <c r="I13" s="16"/>
      <c r="J13" s="11"/>
      <c r="K13" s="16"/>
      <c r="L13" s="16"/>
      <c r="M13" s="16"/>
      <c r="N13" s="16"/>
      <c r="O13" s="11"/>
      <c r="P13" s="16"/>
      <c r="Q13" s="16"/>
      <c r="R13" s="16"/>
      <c r="S13" s="16"/>
      <c r="T13" s="11"/>
      <c r="U13" s="16"/>
      <c r="V13" s="16"/>
      <c r="W13" s="16"/>
      <c r="X13" s="11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1"/>
      <c r="AK13" s="16"/>
      <c r="AL13" s="11"/>
      <c r="AM13" s="16"/>
      <c r="AN13" s="11"/>
      <c r="AO13" s="16"/>
      <c r="AP13" s="11"/>
      <c r="AQ13" s="16"/>
      <c r="AR13" s="11"/>
      <c r="AS13" s="16"/>
      <c r="AT13" s="11"/>
      <c r="AU13" s="16"/>
      <c r="AV13" s="11"/>
      <c r="AW13" s="16"/>
      <c r="AX13" s="11"/>
      <c r="AY13" s="16"/>
      <c r="AZ13" s="11"/>
      <c r="BA13" s="16"/>
      <c r="BB13" s="11"/>
      <c r="BC13" s="35"/>
      <c r="BD13" s="11"/>
      <c r="BE13" s="35"/>
      <c r="BF13" s="11"/>
      <c r="BG13" s="35"/>
      <c r="BH13" s="11"/>
      <c r="BI13" s="35"/>
      <c r="BJ13" s="35"/>
      <c r="BK13" s="35"/>
      <c r="BL13" s="33"/>
      <c r="BM13" s="35"/>
      <c r="BN13" s="33"/>
      <c r="BO13" s="35"/>
      <c r="BP13" s="33"/>
      <c r="BQ13" s="35"/>
      <c r="BR13" s="33"/>
      <c r="BS13" s="35"/>
      <c r="BT13" s="34"/>
      <c r="BU13" s="35"/>
      <c r="BV13" s="34"/>
      <c r="BW13" s="35"/>
      <c r="BX13" s="33"/>
      <c r="BY13" s="35"/>
      <c r="BZ13" s="33"/>
      <c r="CA13" s="35"/>
      <c r="CB13" s="34"/>
      <c r="CC13" s="35"/>
    </row>
    <row r="14" spans="1:81" x14ac:dyDescent="0.25">
      <c r="A14" s="20"/>
      <c r="B14" s="16"/>
      <c r="C14" s="16"/>
      <c r="D14" s="16"/>
      <c r="E14" s="24"/>
      <c r="F14" s="16"/>
      <c r="G14" s="16"/>
      <c r="H14" s="16"/>
      <c r="I14" s="16"/>
      <c r="J14" s="24"/>
      <c r="K14" s="16"/>
      <c r="L14" s="16"/>
      <c r="M14" s="16"/>
      <c r="N14" s="16"/>
      <c r="O14" s="24"/>
      <c r="P14" s="16"/>
      <c r="Q14" s="16"/>
      <c r="R14" s="16"/>
      <c r="S14" s="16"/>
      <c r="T14" s="24"/>
      <c r="U14" s="16"/>
      <c r="V14" s="16"/>
      <c r="W14" s="16"/>
      <c r="X14" s="24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24"/>
      <c r="AK14" s="16"/>
      <c r="AL14" s="24"/>
      <c r="AM14" s="16"/>
      <c r="AN14" s="24"/>
      <c r="AO14" s="16"/>
      <c r="AP14" s="24"/>
      <c r="AQ14" s="16"/>
      <c r="AR14" s="24"/>
      <c r="AS14" s="16"/>
      <c r="AT14" s="24"/>
      <c r="AU14" s="16"/>
      <c r="AV14" s="24"/>
      <c r="AW14" s="16"/>
      <c r="AX14" s="24"/>
      <c r="AY14" s="16"/>
      <c r="AZ14" s="24"/>
      <c r="BA14" s="16"/>
      <c r="BB14" s="24"/>
      <c r="BC14" s="11"/>
      <c r="BD14" s="24"/>
      <c r="BE14" s="11"/>
      <c r="BF14" s="24"/>
      <c r="BG14" s="11"/>
      <c r="BH14" s="24"/>
      <c r="BI14" s="11"/>
      <c r="BJ14" s="11"/>
      <c r="BK14" s="11"/>
      <c r="BL14" s="33"/>
      <c r="BM14" s="11"/>
      <c r="BN14" s="33"/>
      <c r="BO14" s="11"/>
      <c r="BP14" s="33"/>
      <c r="BQ14" s="11"/>
      <c r="BR14" s="33"/>
      <c r="BS14" s="11"/>
      <c r="BT14" s="34"/>
      <c r="BU14" s="11"/>
      <c r="BV14" s="34"/>
      <c r="BW14" s="11"/>
      <c r="BX14" s="33"/>
      <c r="BY14" s="11"/>
      <c r="BZ14" s="33"/>
      <c r="CA14" s="11"/>
      <c r="CB14" s="34"/>
      <c r="CC14" s="11"/>
    </row>
    <row r="15" spans="1:81" x14ac:dyDescent="0.25">
      <c r="A15" s="20"/>
      <c r="B15" s="16"/>
      <c r="C15" s="16"/>
      <c r="D15" s="16"/>
      <c r="E15" s="33"/>
      <c r="F15" s="16"/>
      <c r="G15" s="16"/>
      <c r="H15" s="16"/>
      <c r="I15" s="16"/>
      <c r="J15" s="33"/>
      <c r="K15" s="16"/>
      <c r="L15" s="16"/>
      <c r="M15" s="16"/>
      <c r="N15" s="16"/>
      <c r="O15" s="33"/>
      <c r="P15" s="16"/>
      <c r="Q15" s="16"/>
      <c r="R15" s="16"/>
      <c r="S15" s="16"/>
      <c r="T15" s="33"/>
      <c r="U15" s="16"/>
      <c r="V15" s="16"/>
      <c r="W15" s="16"/>
      <c r="X15" s="33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34"/>
      <c r="AK15" s="16"/>
      <c r="AL15" s="34"/>
      <c r="AM15" s="16"/>
      <c r="AN15" s="34"/>
      <c r="AO15" s="16"/>
      <c r="AP15" s="34"/>
      <c r="AQ15" s="16"/>
      <c r="AR15" s="33"/>
      <c r="AS15" s="16"/>
      <c r="AT15" s="33"/>
      <c r="AU15" s="16"/>
      <c r="AV15" s="33"/>
      <c r="AW15" s="16"/>
      <c r="AX15" s="33"/>
      <c r="AY15" s="16"/>
      <c r="AZ15" s="33"/>
      <c r="BA15" s="16"/>
      <c r="BB15" s="33"/>
      <c r="BC15" s="24"/>
      <c r="BD15" s="33"/>
      <c r="BE15" s="24"/>
      <c r="BF15" s="33"/>
      <c r="BG15" s="24"/>
      <c r="BH15" s="33"/>
      <c r="BI15" s="24"/>
      <c r="BJ15" s="24"/>
      <c r="BK15" s="24"/>
      <c r="BL15" s="33"/>
      <c r="BM15" s="24"/>
      <c r="BN15" s="33"/>
      <c r="BO15" s="24"/>
      <c r="BP15" s="33"/>
      <c r="BQ15" s="24"/>
      <c r="BR15" s="33"/>
      <c r="BS15" s="24"/>
      <c r="BT15" s="34"/>
      <c r="BU15" s="24"/>
      <c r="BV15" s="34"/>
      <c r="BW15" s="24"/>
      <c r="BX15" s="33"/>
      <c r="BY15" s="24"/>
      <c r="BZ15" s="33"/>
      <c r="CA15" s="24"/>
      <c r="CB15" s="34"/>
      <c r="CC15" s="24"/>
    </row>
    <row r="16" spans="1:81" x14ac:dyDescent="0.25">
      <c r="A16" s="8"/>
      <c r="B16" s="30"/>
      <c r="C16" s="30"/>
      <c r="D16" s="30"/>
      <c r="E16" s="33"/>
      <c r="F16" s="30"/>
      <c r="G16" s="30"/>
      <c r="H16" s="30"/>
      <c r="I16" s="30"/>
      <c r="J16" s="33"/>
      <c r="K16" s="30"/>
      <c r="L16" s="30"/>
      <c r="M16" s="30"/>
      <c r="N16" s="30"/>
      <c r="O16" s="33"/>
      <c r="P16" s="30"/>
      <c r="Q16" s="30"/>
      <c r="R16" s="30"/>
      <c r="S16" s="30"/>
      <c r="T16" s="33"/>
      <c r="U16" s="30"/>
      <c r="V16" s="30"/>
      <c r="W16" s="30"/>
      <c r="X16" s="33"/>
      <c r="Y16" s="30"/>
      <c r="Z16" s="30"/>
      <c r="AA16" s="30"/>
      <c r="AB16" s="16"/>
      <c r="AC16" s="30"/>
      <c r="AD16" s="16"/>
      <c r="AE16" s="30"/>
      <c r="AF16" s="16"/>
      <c r="AG16" s="30"/>
      <c r="AH16" s="16"/>
      <c r="AI16" s="30"/>
      <c r="AJ16" s="34"/>
      <c r="AK16" s="30"/>
      <c r="AL16" s="34"/>
      <c r="AM16" s="30"/>
      <c r="AN16" s="34"/>
      <c r="AO16" s="30"/>
      <c r="AP16" s="34"/>
      <c r="AQ16" s="30"/>
      <c r="AR16" s="33"/>
      <c r="AS16" s="30"/>
      <c r="AT16" s="33"/>
      <c r="AU16" s="30"/>
      <c r="AV16" s="33"/>
      <c r="AW16" s="30"/>
      <c r="AX16" s="33"/>
      <c r="AY16" s="30"/>
      <c r="AZ16" s="33"/>
      <c r="BA16" s="30"/>
      <c r="BB16" s="33"/>
      <c r="BC16" s="13"/>
      <c r="BD16" s="33"/>
      <c r="BE16" s="13"/>
      <c r="BF16" s="33"/>
      <c r="BG16" s="13"/>
      <c r="BH16" s="33"/>
      <c r="BI16" s="13"/>
      <c r="BJ16" s="33"/>
      <c r="BK16" s="13"/>
      <c r="BL16" s="13"/>
      <c r="BM16" s="13"/>
      <c r="BN16" s="13"/>
      <c r="BO16" s="13"/>
      <c r="BP16" s="13"/>
      <c r="BQ16" s="13"/>
      <c r="BR16" s="13"/>
      <c r="BS16" s="8"/>
      <c r="BW16" s="8"/>
      <c r="BX16" s="13"/>
      <c r="BY16" s="13"/>
      <c r="BZ16" s="13"/>
      <c r="CA16" s="8"/>
    </row>
    <row r="17" spans="1:81" x14ac:dyDescent="0.25">
      <c r="D17" s="13"/>
      <c r="E17" s="4"/>
      <c r="F17" s="13"/>
      <c r="I17" s="13"/>
      <c r="J17" s="4"/>
      <c r="K17" s="13"/>
      <c r="N17" s="13"/>
      <c r="O17" s="4"/>
      <c r="P17" s="13"/>
      <c r="S17" s="13"/>
      <c r="T17" s="4"/>
      <c r="U17" s="13"/>
      <c r="W17" s="13"/>
      <c r="X17" s="4"/>
      <c r="Y17" s="13"/>
      <c r="AA17" s="13"/>
      <c r="AB17" s="33"/>
      <c r="AC17" s="13"/>
      <c r="AD17" s="33"/>
      <c r="AE17" s="13"/>
      <c r="AF17" s="34"/>
      <c r="AH17" s="34"/>
      <c r="AI17" s="13"/>
      <c r="AJ17" s="4"/>
      <c r="AL17" s="4"/>
      <c r="AM17" s="13"/>
      <c r="AN17" s="4"/>
      <c r="AP17" s="4"/>
      <c r="AQ17" s="13"/>
      <c r="AR17" s="4"/>
      <c r="AS17" s="13"/>
      <c r="AT17" s="4"/>
      <c r="AU17" s="13"/>
      <c r="AV17" s="4"/>
      <c r="AW17" s="13"/>
      <c r="AX17" s="4"/>
      <c r="AY17" s="13"/>
      <c r="AZ17" s="4"/>
      <c r="BA17" s="13"/>
      <c r="BB17" s="4"/>
      <c r="BC17" s="13"/>
      <c r="BD17" s="4"/>
      <c r="BE17" s="13"/>
      <c r="BF17" s="4"/>
      <c r="BG17" s="13"/>
      <c r="BH17" s="4"/>
      <c r="BI17" s="13"/>
      <c r="BJ17" s="33"/>
      <c r="BK17" s="13"/>
      <c r="BL17" s="13"/>
      <c r="BM17" s="13"/>
      <c r="BN17" s="13"/>
      <c r="BO17" s="13"/>
      <c r="BP17" s="13"/>
      <c r="BQ17" s="13"/>
      <c r="BR17" s="13"/>
      <c r="BS17" s="13"/>
      <c r="BW17" s="13"/>
      <c r="BX17" s="13"/>
      <c r="BY17" s="13"/>
      <c r="BZ17" s="13"/>
      <c r="CA17" s="13"/>
    </row>
    <row r="18" spans="1:81" ht="43.5" customHeight="1" x14ac:dyDescent="0.25">
      <c r="A18" s="37"/>
      <c r="B18" s="38"/>
      <c r="C18" s="16"/>
      <c r="D18" s="10" t="s">
        <v>550</v>
      </c>
      <c r="F18" s="9" t="s">
        <v>8</v>
      </c>
      <c r="G18" s="16"/>
      <c r="H18" s="16"/>
      <c r="I18" s="10" t="s">
        <v>551</v>
      </c>
      <c r="J18" s="11"/>
      <c r="K18" s="9" t="s">
        <v>552</v>
      </c>
      <c r="L18" s="16"/>
      <c r="M18" s="16"/>
      <c r="N18" s="10" t="s">
        <v>518</v>
      </c>
      <c r="O18" s="11"/>
      <c r="P18" s="9" t="s">
        <v>519</v>
      </c>
      <c r="Q18" s="16"/>
      <c r="R18" s="16"/>
      <c r="S18" s="10" t="s">
        <v>516</v>
      </c>
      <c r="T18" s="11"/>
      <c r="U18" s="9" t="s">
        <v>517</v>
      </c>
      <c r="V18" s="16"/>
      <c r="W18" s="10" t="s">
        <v>2</v>
      </c>
      <c r="X18" s="11"/>
      <c r="Y18" s="9" t="s">
        <v>3</v>
      </c>
      <c r="Z18" s="16"/>
      <c r="AA18" s="9" t="s">
        <v>4</v>
      </c>
      <c r="AB18" s="4"/>
      <c r="AC18" s="9" t="s">
        <v>5</v>
      </c>
      <c r="AD18" s="4"/>
      <c r="AE18" s="9" t="s">
        <v>6</v>
      </c>
      <c r="AF18" s="11"/>
      <c r="AG18" s="9" t="s">
        <v>7</v>
      </c>
      <c r="AH18" s="4"/>
      <c r="AI18" s="9" t="s">
        <v>8</v>
      </c>
      <c r="AK18" s="9" t="s">
        <v>9</v>
      </c>
      <c r="AL18" s="11"/>
      <c r="AM18" s="9" t="s">
        <v>10</v>
      </c>
      <c r="AN18" s="11"/>
      <c r="AO18" s="9" t="s">
        <v>11</v>
      </c>
      <c r="AP18" s="11"/>
      <c r="AQ18" s="9" t="s">
        <v>12</v>
      </c>
      <c r="AR18" s="11"/>
      <c r="AS18" s="9" t="s">
        <v>13</v>
      </c>
      <c r="AT18" s="11"/>
      <c r="AU18" s="9" t="s">
        <v>14</v>
      </c>
      <c r="AV18" s="11"/>
      <c r="AW18" s="9" t="s">
        <v>15</v>
      </c>
      <c r="AX18" s="11"/>
      <c r="AY18" s="9" t="s">
        <v>16</v>
      </c>
      <c r="AZ18" s="11"/>
      <c r="BA18" s="9" t="s">
        <v>17</v>
      </c>
      <c r="BB18" s="11"/>
      <c r="BC18" s="39" t="s">
        <v>5</v>
      </c>
      <c r="BD18" s="40"/>
      <c r="BE18" s="39" t="s">
        <v>18</v>
      </c>
      <c r="BF18" s="40"/>
      <c r="BG18" s="39" t="s">
        <v>7</v>
      </c>
      <c r="BH18" s="40"/>
      <c r="BI18" s="39" t="s">
        <v>19</v>
      </c>
      <c r="BJ18" s="4"/>
      <c r="BK18" s="39" t="s">
        <v>9</v>
      </c>
      <c r="BL18" s="13"/>
      <c r="BM18" s="39" t="s">
        <v>20</v>
      </c>
      <c r="BN18" s="13"/>
      <c r="BO18" s="39" t="s">
        <v>21</v>
      </c>
      <c r="BP18" s="13"/>
      <c r="BQ18" s="39" t="s">
        <v>22</v>
      </c>
      <c r="BR18" s="13"/>
      <c r="BS18" s="39" t="s">
        <v>23</v>
      </c>
      <c r="BU18" s="39" t="s">
        <v>24</v>
      </c>
      <c r="BW18" s="39" t="s">
        <v>25</v>
      </c>
      <c r="BX18" s="13"/>
      <c r="BY18" s="39" t="s">
        <v>26</v>
      </c>
      <c r="BZ18" s="13"/>
      <c r="CA18" s="39" t="s">
        <v>27</v>
      </c>
      <c r="CC18" s="39" t="s">
        <v>28</v>
      </c>
    </row>
    <row r="19" spans="1:81" x14ac:dyDescent="0.25">
      <c r="A19" s="14" t="s">
        <v>35</v>
      </c>
      <c r="B19" s="15" t="s">
        <v>36</v>
      </c>
      <c r="C19" s="16"/>
      <c r="D19" s="41">
        <v>4.21</v>
      </c>
      <c r="E19" s="40"/>
      <c r="F19" s="42">
        <v>3.45</v>
      </c>
      <c r="G19" s="16"/>
      <c r="H19" s="16"/>
      <c r="I19" s="41">
        <v>1.73</v>
      </c>
      <c r="J19" s="40"/>
      <c r="K19" s="42">
        <v>1.4400000000000004</v>
      </c>
      <c r="L19" s="16"/>
      <c r="M19" s="16"/>
      <c r="N19" s="41">
        <v>2.48</v>
      </c>
      <c r="O19" s="40"/>
      <c r="P19" s="42">
        <v>2.0099999999999998</v>
      </c>
      <c r="Q19" s="16"/>
      <c r="R19" s="16"/>
      <c r="S19" s="41">
        <v>1.27</v>
      </c>
      <c r="T19" s="40"/>
      <c r="U19" s="42">
        <v>1.0399999999999998</v>
      </c>
      <c r="V19" s="16"/>
      <c r="W19" s="41">
        <v>1.21</v>
      </c>
      <c r="X19" s="40"/>
      <c r="Y19" s="42">
        <v>0.97</v>
      </c>
      <c r="Z19" s="16"/>
      <c r="AA19" s="42">
        <v>4.91</v>
      </c>
      <c r="AB19" s="16"/>
      <c r="AC19" s="42">
        <v>5.4</v>
      </c>
      <c r="AD19" s="16"/>
      <c r="AE19" s="42">
        <v>1.45</v>
      </c>
      <c r="AF19" s="16"/>
      <c r="AG19" s="42">
        <v>1.41</v>
      </c>
      <c r="AH19" s="16"/>
      <c r="AI19" s="42">
        <v>3.45</v>
      </c>
      <c r="AJ19" s="40"/>
      <c r="AK19" s="42">
        <v>3.99</v>
      </c>
      <c r="AL19" s="40"/>
      <c r="AM19" s="42">
        <v>1.44</v>
      </c>
      <c r="AN19" s="40"/>
      <c r="AO19" s="42">
        <v>1.44</v>
      </c>
      <c r="AP19" s="40"/>
      <c r="AQ19" s="42">
        <v>2.0099999999999998</v>
      </c>
      <c r="AR19" s="40"/>
      <c r="AS19" s="42">
        <v>2.5499999999999998</v>
      </c>
      <c r="AT19" s="40"/>
      <c r="AU19" s="42">
        <v>1.04</v>
      </c>
      <c r="AV19" s="40"/>
      <c r="AW19" s="42">
        <v>1.3</v>
      </c>
      <c r="AX19" s="40"/>
      <c r="AY19" s="42">
        <v>0.97</v>
      </c>
      <c r="AZ19" s="40"/>
      <c r="BA19" s="42">
        <v>1.25</v>
      </c>
      <c r="BB19" s="40"/>
      <c r="BC19" s="42">
        <v>5.4</v>
      </c>
      <c r="BD19" s="40"/>
      <c r="BE19" s="42">
        <v>5.45</v>
      </c>
      <c r="BF19" s="40"/>
      <c r="BG19" s="42">
        <v>1.41</v>
      </c>
      <c r="BH19" s="40"/>
      <c r="BI19" s="42">
        <v>1.19</v>
      </c>
      <c r="BJ19" s="40"/>
      <c r="BK19" s="42">
        <v>3.99</v>
      </c>
      <c r="BL19" s="13"/>
      <c r="BM19" s="42">
        <v>4.26</v>
      </c>
      <c r="BN19" s="13"/>
      <c r="BO19" s="42">
        <v>1.44</v>
      </c>
      <c r="BP19" s="13"/>
      <c r="BQ19" s="42">
        <v>1.26</v>
      </c>
      <c r="BR19" s="13"/>
      <c r="BS19" s="42">
        <v>2.5499999999999998</v>
      </c>
      <c r="BU19" s="42">
        <v>3</v>
      </c>
      <c r="BW19" s="42">
        <v>1.3</v>
      </c>
      <c r="BX19" s="13"/>
      <c r="BY19" s="42">
        <v>1.48</v>
      </c>
      <c r="BZ19" s="13"/>
      <c r="CA19" s="42">
        <v>1.25</v>
      </c>
      <c r="CC19" s="42">
        <v>1.52</v>
      </c>
    </row>
    <row r="20" spans="1:81" x14ac:dyDescent="0.25">
      <c r="A20" s="20" t="s">
        <v>37</v>
      </c>
      <c r="B20" s="16" t="s">
        <v>38</v>
      </c>
      <c r="C20" s="16"/>
      <c r="D20" s="43">
        <v>12.45</v>
      </c>
      <c r="E20" s="24"/>
      <c r="F20" s="24">
        <v>13.8</v>
      </c>
      <c r="G20" s="16"/>
      <c r="H20" s="16"/>
      <c r="I20" s="43">
        <v>4</v>
      </c>
      <c r="J20" s="24"/>
      <c r="K20" s="24">
        <v>5.0400000000000009</v>
      </c>
      <c r="L20" s="16"/>
      <c r="M20" s="16"/>
      <c r="N20" s="43">
        <v>8.4499999999999993</v>
      </c>
      <c r="O20" s="24"/>
      <c r="P20" s="40">
        <v>8.76</v>
      </c>
      <c r="Q20" s="16"/>
      <c r="R20" s="16"/>
      <c r="S20" s="43">
        <v>4.1399999999999997</v>
      </c>
      <c r="T20" s="24"/>
      <c r="U20" s="40">
        <v>4.3599999999999994</v>
      </c>
      <c r="V20" s="16"/>
      <c r="W20" s="43">
        <v>4.3099999999999996</v>
      </c>
      <c r="X20" s="24"/>
      <c r="Y20" s="40">
        <v>4.4000000000000004</v>
      </c>
      <c r="Z20" s="16"/>
      <c r="AA20" s="40">
        <v>16.64</v>
      </c>
      <c r="AB20" s="16"/>
      <c r="AC20" s="40">
        <v>15.37</v>
      </c>
      <c r="AD20" s="16"/>
      <c r="AE20" s="40">
        <v>4.25</v>
      </c>
      <c r="AF20" s="16"/>
      <c r="AG20" s="40">
        <v>4.1100000000000003</v>
      </c>
      <c r="AH20" s="16"/>
      <c r="AI20" s="40">
        <v>12.38</v>
      </c>
      <c r="AJ20" s="24"/>
      <c r="AK20" s="40">
        <v>11.27</v>
      </c>
      <c r="AL20" s="24"/>
      <c r="AM20" s="40">
        <v>4.54</v>
      </c>
      <c r="AN20" s="24"/>
      <c r="AO20" s="40">
        <v>3.98</v>
      </c>
      <c r="AP20" s="24"/>
      <c r="AQ20" s="40">
        <v>7.84</v>
      </c>
      <c r="AR20" s="24"/>
      <c r="AS20" s="40">
        <v>7.29</v>
      </c>
      <c r="AT20" s="24"/>
      <c r="AU20" s="40">
        <v>3.92</v>
      </c>
      <c r="AV20" s="24"/>
      <c r="AW20" s="40">
        <v>3.59</v>
      </c>
      <c r="AX20" s="24"/>
      <c r="AY20" s="40">
        <v>3.93</v>
      </c>
      <c r="AZ20" s="24"/>
      <c r="BA20" s="40">
        <v>3.69</v>
      </c>
      <c r="BB20" s="24"/>
      <c r="BC20" s="40">
        <v>15.37</v>
      </c>
      <c r="BD20" s="24"/>
      <c r="BE20" s="40">
        <v>19.39</v>
      </c>
      <c r="BF20" s="24"/>
      <c r="BG20" s="40">
        <v>4.1100000000000003</v>
      </c>
      <c r="BH20" s="24"/>
      <c r="BI20" s="40">
        <v>5.1100000000000003</v>
      </c>
      <c r="BJ20" s="40"/>
      <c r="BK20" s="40">
        <v>11.27</v>
      </c>
      <c r="BL20" s="13"/>
      <c r="BM20" s="40">
        <v>14.28</v>
      </c>
      <c r="BN20" s="13"/>
      <c r="BO20" s="40">
        <v>3.98</v>
      </c>
      <c r="BP20" s="13"/>
      <c r="BQ20" s="40">
        <v>4.53</v>
      </c>
      <c r="BR20" s="13"/>
      <c r="BS20" s="40">
        <v>7.29</v>
      </c>
      <c r="BU20" s="40">
        <v>9.75</v>
      </c>
      <c r="BW20" s="40">
        <v>3.59</v>
      </c>
      <c r="BX20" s="13"/>
      <c r="BY20" s="40">
        <v>4.5999999999999996</v>
      </c>
      <c r="BZ20" s="13"/>
      <c r="CA20" s="40">
        <v>3.69</v>
      </c>
      <c r="CC20" s="40">
        <v>5.15</v>
      </c>
    </row>
    <row r="21" spans="1:81" x14ac:dyDescent="0.25">
      <c r="A21" s="20" t="s">
        <v>39</v>
      </c>
      <c r="B21" s="16" t="s">
        <v>38</v>
      </c>
      <c r="C21" s="16"/>
      <c r="D21" s="43">
        <v>36.82</v>
      </c>
      <c r="E21" s="24"/>
      <c r="F21" s="24">
        <v>36.69</v>
      </c>
      <c r="G21" s="16"/>
      <c r="H21" s="16"/>
      <c r="I21" s="43">
        <v>12.05</v>
      </c>
      <c r="J21" s="24"/>
      <c r="K21" s="24">
        <v>12.099999999999998</v>
      </c>
      <c r="L21" s="16"/>
      <c r="M21" s="16"/>
      <c r="N21" s="43">
        <v>24.77</v>
      </c>
      <c r="O21" s="24"/>
      <c r="P21" s="40">
        <v>24.59</v>
      </c>
      <c r="Q21" s="16"/>
      <c r="R21" s="16"/>
      <c r="S21" s="43">
        <v>12.04</v>
      </c>
      <c r="T21" s="24"/>
      <c r="U21" s="40">
        <v>12.09</v>
      </c>
      <c r="V21" s="16"/>
      <c r="W21" s="43">
        <v>12.73</v>
      </c>
      <c r="X21" s="24"/>
      <c r="Y21" s="40">
        <v>12.5</v>
      </c>
      <c r="Z21" s="16"/>
      <c r="AA21" s="40">
        <v>49.2</v>
      </c>
      <c r="AB21" s="16"/>
      <c r="AC21" s="40">
        <v>47.9</v>
      </c>
      <c r="AD21" s="16"/>
      <c r="AE21" s="40">
        <v>12.51</v>
      </c>
      <c r="AF21" s="16"/>
      <c r="AG21" s="40">
        <v>12.16</v>
      </c>
      <c r="AH21" s="16"/>
      <c r="AI21" s="40">
        <v>36.69</v>
      </c>
      <c r="AJ21" s="24"/>
      <c r="AK21" s="40">
        <v>35.74</v>
      </c>
      <c r="AL21" s="24"/>
      <c r="AM21" s="40">
        <v>12.1</v>
      </c>
      <c r="AN21" s="24"/>
      <c r="AO21" s="40">
        <v>11.86</v>
      </c>
      <c r="AP21" s="24"/>
      <c r="AQ21" s="40">
        <v>24.59</v>
      </c>
      <c r="AR21" s="24"/>
      <c r="AS21" s="40">
        <v>23.88</v>
      </c>
      <c r="AT21" s="24"/>
      <c r="AU21" s="40">
        <v>12.09</v>
      </c>
      <c r="AV21" s="24"/>
      <c r="AW21" s="40">
        <v>11.63</v>
      </c>
      <c r="AX21" s="24"/>
      <c r="AY21" s="40">
        <v>12.5</v>
      </c>
      <c r="AZ21" s="24"/>
      <c r="BA21" s="40">
        <v>12.25</v>
      </c>
      <c r="BB21" s="24"/>
      <c r="BC21" s="24">
        <v>47.9</v>
      </c>
      <c r="BD21" s="24"/>
      <c r="BE21" s="24">
        <v>47.9</v>
      </c>
      <c r="BF21" s="24"/>
      <c r="BG21" s="24">
        <v>12.16</v>
      </c>
      <c r="BH21" s="24"/>
      <c r="BI21" s="24">
        <v>12.18</v>
      </c>
      <c r="BJ21" s="24"/>
      <c r="BK21" s="24">
        <v>35.74</v>
      </c>
      <c r="BL21" s="13"/>
      <c r="BM21" s="24">
        <v>35.72</v>
      </c>
      <c r="BN21" s="13"/>
      <c r="BO21" s="24">
        <v>11.86</v>
      </c>
      <c r="BP21" s="13"/>
      <c r="BQ21" s="24">
        <v>11.74</v>
      </c>
      <c r="BR21" s="13"/>
      <c r="BS21" s="24">
        <v>23.88</v>
      </c>
      <c r="BU21" s="24">
        <v>23.98</v>
      </c>
      <c r="BW21" s="24">
        <v>11.63</v>
      </c>
      <c r="BX21" s="13"/>
      <c r="BY21" s="24">
        <v>11.56</v>
      </c>
      <c r="BZ21" s="13"/>
      <c r="CA21" s="24">
        <v>12.25</v>
      </c>
      <c r="CC21" s="24">
        <v>12.42</v>
      </c>
    </row>
    <row r="22" spans="1:81" x14ac:dyDescent="0.25">
      <c r="A22" s="25" t="s">
        <v>40</v>
      </c>
      <c r="B22" s="26" t="s">
        <v>38</v>
      </c>
      <c r="C22" s="16"/>
      <c r="D22" s="27">
        <v>23.19</v>
      </c>
      <c r="E22" s="33"/>
      <c r="F22" s="29">
        <v>26.46</v>
      </c>
      <c r="G22" s="16"/>
      <c r="H22" s="16"/>
      <c r="I22" s="27">
        <v>7.6100000000000012</v>
      </c>
      <c r="J22" s="33"/>
      <c r="K22" s="29">
        <v>8.44</v>
      </c>
      <c r="L22" s="16"/>
      <c r="M22" s="16"/>
      <c r="N22" s="27">
        <v>15.58</v>
      </c>
      <c r="O22" s="33"/>
      <c r="P22" s="29">
        <v>18.03</v>
      </c>
      <c r="Q22" s="16"/>
      <c r="R22" s="16"/>
      <c r="S22" s="27">
        <v>7.2100000000000009</v>
      </c>
      <c r="T22" s="33"/>
      <c r="U22" s="29">
        <v>8.5820000000000007</v>
      </c>
      <c r="V22" s="16"/>
      <c r="W22" s="27">
        <v>8.3699999999999992</v>
      </c>
      <c r="X22" s="33"/>
      <c r="Y22" s="29">
        <v>9.0500000000000007</v>
      </c>
      <c r="Z22" s="16"/>
      <c r="AA22" s="29">
        <v>35.94</v>
      </c>
      <c r="AB22" s="16"/>
      <c r="AC22" s="29">
        <v>36.43</v>
      </c>
      <c r="AD22" s="16"/>
      <c r="AE22" s="29">
        <v>9.4700000000000006</v>
      </c>
      <c r="AF22" s="16"/>
      <c r="AG22" s="29">
        <v>9.66</v>
      </c>
      <c r="AH22" s="16"/>
      <c r="AI22" s="29">
        <v>26.46</v>
      </c>
      <c r="AJ22" s="34"/>
      <c r="AK22" s="29">
        <v>26.78</v>
      </c>
      <c r="AL22" s="34"/>
      <c r="AM22" s="29">
        <v>8.44</v>
      </c>
      <c r="AN22" s="34"/>
      <c r="AO22" s="29">
        <v>8.58</v>
      </c>
      <c r="AP22" s="34"/>
      <c r="AQ22" s="29">
        <v>18.03</v>
      </c>
      <c r="AR22" s="33"/>
      <c r="AS22" s="29">
        <v>18.2</v>
      </c>
      <c r="AT22" s="33"/>
      <c r="AU22" s="29">
        <v>8.58</v>
      </c>
      <c r="AV22" s="33"/>
      <c r="AW22" s="29">
        <v>8.5399999999999991</v>
      </c>
      <c r="AX22" s="33"/>
      <c r="AY22" s="29">
        <v>9.0500000000000007</v>
      </c>
      <c r="AZ22" s="33"/>
      <c r="BA22" s="29">
        <v>10.17</v>
      </c>
      <c r="BB22" s="33"/>
      <c r="BC22" s="29">
        <v>38.590000000000003</v>
      </c>
      <c r="BD22" s="33"/>
      <c r="BE22" s="29">
        <v>41.3</v>
      </c>
      <c r="BF22" s="33"/>
      <c r="BG22" s="29">
        <v>10.210000000000001</v>
      </c>
      <c r="BH22" s="33"/>
      <c r="BI22" s="29">
        <v>10.59</v>
      </c>
      <c r="BJ22" s="24"/>
      <c r="BK22" s="29">
        <v>28.39</v>
      </c>
      <c r="BL22" s="13"/>
      <c r="BM22" s="29">
        <v>30.71</v>
      </c>
      <c r="BN22" s="13"/>
      <c r="BO22" s="29">
        <v>9.1300000000000008</v>
      </c>
      <c r="BP22" s="13"/>
      <c r="BQ22" s="29">
        <v>9.85</v>
      </c>
      <c r="BR22" s="13"/>
      <c r="BS22" s="29">
        <v>19.25</v>
      </c>
      <c r="BU22" s="29">
        <v>20.86</v>
      </c>
      <c r="BW22" s="29">
        <v>9.08</v>
      </c>
      <c r="BX22" s="13"/>
      <c r="BY22" s="29">
        <v>9.92</v>
      </c>
      <c r="BZ22" s="13"/>
      <c r="CA22" s="29">
        <v>10.17</v>
      </c>
      <c r="CC22" s="29">
        <v>10.94</v>
      </c>
    </row>
  </sheetData>
  <customSheetViews>
    <customSheetView guid="{77EFF5B1-32BE-4080-9902-B97F43099026}">
      <pageMargins left="0.7" right="0.7" top="0.75" bottom="0.75" header="0.3" footer="0.3"/>
      <pageSetup paperSize="9" orientation="portrait" r:id="rId1"/>
    </customSheetView>
    <customSheetView guid="{AAA495E0-27FD-4941-85B8-9038B6AD4FA3}">
      <selection activeCell="C9" sqref="C9"/>
      <pageMargins left="0.7" right="0.7" top="0.75" bottom="0.75" header="0.3" footer="0.3"/>
    </customSheetView>
    <customSheetView guid="{874BA5F8-BD95-4DDF-8F31-98DB154CA965}">
      <selection activeCell="C9" sqref="C9"/>
      <pageMargins left="0.7" right="0.7" top="0.75" bottom="0.75" header="0.3" footer="0.3"/>
    </customSheetView>
    <customSheetView guid="{627AEB6E-B9F1-415E-9A60-881757A50C67}">
      <selection activeCell="J11" sqref="J11"/>
      <pageMargins left="0.7" right="0.7" top="0.75" bottom="0.75" header="0.3" footer="0.3"/>
      <pageSetup paperSize="9" orientation="portrait" r:id="rId2"/>
    </customSheetView>
  </customSheetView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I159"/>
  <sheetViews>
    <sheetView workbookViewId="0">
      <pane xSplit="1" ySplit="4" topLeftCell="F14" activePane="bottomRight" state="frozen"/>
      <selection pane="topRight" activeCell="B1" sqref="B1"/>
      <selection pane="bottomLeft" activeCell="A5" sqref="A5"/>
      <selection pane="bottomRight" activeCell="N6" sqref="N6"/>
    </sheetView>
  </sheetViews>
  <sheetFormatPr defaultColWidth="12.42578125" defaultRowHeight="15" x14ac:dyDescent="0.25"/>
  <cols>
    <col min="1" max="1" width="101.42578125" style="144" customWidth="1"/>
    <col min="2" max="5" width="21.5703125" style="144" customWidth="1"/>
    <col min="6" max="8" width="22.140625" style="144" customWidth="1"/>
    <col min="9" max="16384" width="12.42578125" style="144"/>
  </cols>
  <sheetData>
    <row r="1" spans="1:9" ht="20.25" x14ac:dyDescent="0.25">
      <c r="A1" s="142" t="s">
        <v>492</v>
      </c>
      <c r="B1" s="292"/>
      <c r="C1" s="143"/>
    </row>
    <row r="2" spans="1:9" x14ac:dyDescent="0.25">
      <c r="A2" s="233" t="s">
        <v>203</v>
      </c>
      <c r="B2" s="234"/>
      <c r="C2" s="234"/>
      <c r="D2" s="234"/>
      <c r="E2" s="234"/>
      <c r="F2" s="234"/>
      <c r="G2" s="234"/>
      <c r="H2" s="234"/>
    </row>
    <row r="3" spans="1:9" ht="38.25" x14ac:dyDescent="0.25">
      <c r="A3" s="145" t="s">
        <v>86</v>
      </c>
      <c r="B3" s="146" t="s">
        <v>493</v>
      </c>
      <c r="C3" s="146" t="s">
        <v>494</v>
      </c>
      <c r="D3" s="239" t="s">
        <v>495</v>
      </c>
      <c r="E3" s="146" t="s">
        <v>496</v>
      </c>
      <c r="F3" s="239" t="s">
        <v>497</v>
      </c>
      <c r="G3" s="146" t="s">
        <v>498</v>
      </c>
      <c r="H3" s="146" t="s">
        <v>499</v>
      </c>
    </row>
    <row r="4" spans="1:9" x14ac:dyDescent="0.25">
      <c r="A4" s="331"/>
      <c r="B4" s="241"/>
      <c r="C4" s="241"/>
      <c r="D4" s="241"/>
      <c r="E4" s="241"/>
    </row>
    <row r="5" spans="1:9" x14ac:dyDescent="0.25">
      <c r="A5" s="183" t="s">
        <v>205</v>
      </c>
      <c r="B5" s="241">
        <v>13694622</v>
      </c>
      <c r="C5" s="241">
        <v>15428879</v>
      </c>
      <c r="D5" s="241">
        <v>20755222</v>
      </c>
      <c r="E5" s="156">
        <v>24752985</v>
      </c>
      <c r="F5" s="156">
        <v>19131122</v>
      </c>
      <c r="G5" s="156">
        <v>18440763</v>
      </c>
      <c r="H5" s="156">
        <v>18375224</v>
      </c>
      <c r="I5" s="245"/>
    </row>
    <row r="6" spans="1:9" x14ac:dyDescent="0.25">
      <c r="A6" s="215" t="s">
        <v>206</v>
      </c>
      <c r="B6" s="241">
        <v>-11521540</v>
      </c>
      <c r="C6" s="241">
        <v>-13089128</v>
      </c>
      <c r="D6" s="241">
        <v>-18174354</v>
      </c>
      <c r="E6" s="156">
        <v>-21282054</v>
      </c>
      <c r="F6" s="156">
        <v>-15990461</v>
      </c>
      <c r="G6" s="156">
        <v>-15512063</v>
      </c>
      <c r="H6" s="156">
        <v>-19140775</v>
      </c>
      <c r="I6" s="245"/>
    </row>
    <row r="7" spans="1:9" x14ac:dyDescent="0.25">
      <c r="A7" s="183" t="s">
        <v>337</v>
      </c>
      <c r="B7" s="241">
        <v>2173082</v>
      </c>
      <c r="C7" s="241">
        <v>2339751</v>
      </c>
      <c r="D7" s="241">
        <v>2580868</v>
      </c>
      <c r="E7" s="156">
        <v>3470931</v>
      </c>
      <c r="F7" s="156">
        <v>3140661</v>
      </c>
      <c r="G7" s="156">
        <v>2928700</v>
      </c>
      <c r="H7" s="156">
        <v>-765551</v>
      </c>
      <c r="I7" s="245"/>
    </row>
    <row r="8" spans="1:9" x14ac:dyDescent="0.25">
      <c r="A8" s="215" t="s">
        <v>338</v>
      </c>
      <c r="B8" s="241">
        <v>112106</v>
      </c>
      <c r="C8" s="241">
        <v>105186</v>
      </c>
      <c r="D8" s="241">
        <v>99446</v>
      </c>
      <c r="E8" s="156">
        <v>118901</v>
      </c>
      <c r="F8" s="156">
        <v>127436</v>
      </c>
      <c r="G8" s="156">
        <v>233306</v>
      </c>
      <c r="H8" s="156">
        <v>171355</v>
      </c>
      <c r="I8" s="245"/>
    </row>
    <row r="9" spans="1:9" x14ac:dyDescent="0.25">
      <c r="A9" s="215" t="s">
        <v>208</v>
      </c>
      <c r="B9" s="241">
        <v>-188182</v>
      </c>
      <c r="C9" s="241">
        <v>-231252</v>
      </c>
      <c r="D9" s="241">
        <v>-283382</v>
      </c>
      <c r="E9" s="156">
        <v>-552291</v>
      </c>
      <c r="F9" s="156">
        <v>-553502</v>
      </c>
      <c r="G9" s="156">
        <v>-549164</v>
      </c>
      <c r="H9" s="156">
        <v>-488859</v>
      </c>
      <c r="I9" s="245"/>
    </row>
    <row r="10" spans="1:9" x14ac:dyDescent="0.25">
      <c r="A10" s="215" t="s">
        <v>209</v>
      </c>
      <c r="B10" s="241">
        <v>-621537</v>
      </c>
      <c r="C10" s="241">
        <v>-670308</v>
      </c>
      <c r="D10" s="241">
        <v>-663970</v>
      </c>
      <c r="E10" s="156">
        <v>-734754</v>
      </c>
      <c r="F10" s="156">
        <v>-645406</v>
      </c>
      <c r="G10" s="156">
        <v>-664187</v>
      </c>
      <c r="H10" s="156">
        <v>-618969</v>
      </c>
      <c r="I10" s="245"/>
    </row>
    <row r="11" spans="1:9" x14ac:dyDescent="0.25">
      <c r="A11" s="215" t="s">
        <v>339</v>
      </c>
      <c r="B11" s="241">
        <v>-154686</v>
      </c>
      <c r="C11" s="241">
        <v>-144118</v>
      </c>
      <c r="D11" s="241">
        <v>-87458</v>
      </c>
      <c r="E11" s="156">
        <v>-137658</v>
      </c>
      <c r="F11" s="156">
        <v>-135123</v>
      </c>
      <c r="G11" s="156">
        <v>-118542</v>
      </c>
      <c r="H11" s="156">
        <v>-199117</v>
      </c>
      <c r="I11" s="245"/>
    </row>
    <row r="12" spans="1:9" x14ac:dyDescent="0.25">
      <c r="A12" s="183" t="s">
        <v>340</v>
      </c>
      <c r="B12" s="241">
        <v>1320783</v>
      </c>
      <c r="C12" s="241">
        <v>1399259</v>
      </c>
      <c r="D12" s="241">
        <v>1645504</v>
      </c>
      <c r="E12" s="156">
        <v>2165129</v>
      </c>
      <c r="F12" s="156">
        <v>1934066</v>
      </c>
      <c r="G12" s="156">
        <v>1830113</v>
      </c>
      <c r="H12" s="156">
        <v>-1901141</v>
      </c>
      <c r="I12" s="245"/>
    </row>
    <row r="13" spans="1:9" x14ac:dyDescent="0.25">
      <c r="A13" s="215" t="s">
        <v>213</v>
      </c>
      <c r="B13" s="241">
        <v>113456</v>
      </c>
      <c r="C13" s="241">
        <v>92284</v>
      </c>
      <c r="D13" s="241">
        <v>115767</v>
      </c>
      <c r="E13" s="156">
        <v>131306</v>
      </c>
      <c r="F13" s="156">
        <v>99257</v>
      </c>
      <c r="G13" s="156">
        <v>86198</v>
      </c>
      <c r="H13" s="156">
        <v>73452</v>
      </c>
      <c r="I13" s="245"/>
    </row>
    <row r="14" spans="1:9" x14ac:dyDescent="0.25">
      <c r="A14" s="215" t="s">
        <v>341</v>
      </c>
      <c r="B14" s="241">
        <v>-208170</v>
      </c>
      <c r="C14" s="241">
        <v>-233993</v>
      </c>
      <c r="D14" s="241">
        <v>-160274</v>
      </c>
      <c r="E14" s="156">
        <v>-347124</v>
      </c>
      <c r="F14" s="156">
        <v>-346993</v>
      </c>
      <c r="G14" s="156">
        <v>-417160</v>
      </c>
      <c r="H14" s="156">
        <v>-368015</v>
      </c>
      <c r="I14" s="245"/>
    </row>
    <row r="15" spans="1:9" x14ac:dyDescent="0.25">
      <c r="A15" s="215" t="s">
        <v>342</v>
      </c>
      <c r="B15" s="247">
        <v>0</v>
      </c>
      <c r="C15" s="241">
        <v>-236</v>
      </c>
      <c r="D15" s="241">
        <v>-1046</v>
      </c>
      <c r="E15" s="156">
        <v>-1734</v>
      </c>
      <c r="F15" s="156">
        <v>-2709</v>
      </c>
      <c r="G15" s="156">
        <v>-936</v>
      </c>
      <c r="H15" s="156">
        <v>7933</v>
      </c>
      <c r="I15" s="245"/>
    </row>
    <row r="16" spans="1:9" x14ac:dyDescent="0.25">
      <c r="A16" s="183" t="s">
        <v>343</v>
      </c>
      <c r="B16" s="241">
        <v>1226069</v>
      </c>
      <c r="C16" s="241">
        <v>1257314</v>
      </c>
      <c r="D16" s="241">
        <v>1599951</v>
      </c>
      <c r="E16" s="156">
        <v>1947577</v>
      </c>
      <c r="F16" s="156">
        <v>1683621</v>
      </c>
      <c r="G16" s="156">
        <v>1498215</v>
      </c>
      <c r="H16" s="156">
        <v>-2187771</v>
      </c>
      <c r="I16" s="245"/>
    </row>
    <row r="17" spans="1:9" x14ac:dyDescent="0.25">
      <c r="A17" s="215" t="s">
        <v>216</v>
      </c>
      <c r="B17" s="241">
        <v>-277906</v>
      </c>
      <c r="C17" s="241">
        <v>-265931</v>
      </c>
      <c r="D17" s="241">
        <v>-333017</v>
      </c>
      <c r="E17" s="156">
        <v>-396778</v>
      </c>
      <c r="F17" s="156">
        <v>-337136</v>
      </c>
      <c r="G17" s="156">
        <v>-312655</v>
      </c>
      <c r="H17" s="156">
        <v>383556</v>
      </c>
      <c r="I17" s="245"/>
    </row>
    <row r="18" spans="1:9" x14ac:dyDescent="0.25">
      <c r="A18" s="190" t="s">
        <v>344</v>
      </c>
      <c r="B18" s="253">
        <v>948163</v>
      </c>
      <c r="C18" s="259">
        <v>991383</v>
      </c>
      <c r="D18" s="259">
        <v>1266934</v>
      </c>
      <c r="E18" s="156">
        <v>1550799</v>
      </c>
      <c r="F18" s="156">
        <v>1346485</v>
      </c>
      <c r="G18" s="156">
        <v>1185560</v>
      </c>
      <c r="H18" s="156">
        <v>-1804215</v>
      </c>
    </row>
    <row r="19" spans="1:9" x14ac:dyDescent="0.25">
      <c r="A19" s="183"/>
      <c r="B19" s="241"/>
      <c r="C19" s="265"/>
      <c r="D19" s="265"/>
      <c r="E19" s="265"/>
      <c r="F19" s="265"/>
      <c r="G19" s="265"/>
      <c r="H19" s="332"/>
    </row>
    <row r="20" spans="1:9" x14ac:dyDescent="0.25">
      <c r="A20" s="257" t="s">
        <v>345</v>
      </c>
      <c r="B20" s="258"/>
      <c r="C20" s="259"/>
      <c r="D20" s="259"/>
      <c r="E20" s="259"/>
    </row>
    <row r="21" spans="1:9" x14ac:dyDescent="0.25">
      <c r="A21" s="228" t="s">
        <v>347</v>
      </c>
      <c r="B21" s="259">
        <v>24576</v>
      </c>
      <c r="C21" s="259">
        <v>1112</v>
      </c>
      <c r="D21" s="260">
        <v>0</v>
      </c>
      <c r="E21" s="156">
        <v>-189756</v>
      </c>
      <c r="F21" s="156">
        <v>33397</v>
      </c>
      <c r="G21" s="156">
        <v>-20207</v>
      </c>
      <c r="H21" s="156">
        <v>85932</v>
      </c>
    </row>
    <row r="22" spans="1:9" x14ac:dyDescent="0.25">
      <c r="A22" s="228" t="s">
        <v>348</v>
      </c>
      <c r="B22" s="259" t="s">
        <v>349</v>
      </c>
      <c r="C22" s="259" t="s">
        <v>349</v>
      </c>
      <c r="D22" s="259">
        <v>37149</v>
      </c>
      <c r="E22" s="156">
        <v>-221074</v>
      </c>
      <c r="F22" s="156">
        <v>21847</v>
      </c>
      <c r="G22" s="156">
        <v>-338594</v>
      </c>
      <c r="H22" s="156">
        <v>64136</v>
      </c>
    </row>
    <row r="23" spans="1:9" x14ac:dyDescent="0.25">
      <c r="A23" s="228" t="s">
        <v>219</v>
      </c>
      <c r="B23" s="247">
        <v>0</v>
      </c>
      <c r="C23" s="259">
        <v>-271</v>
      </c>
      <c r="D23" s="259">
        <v>358</v>
      </c>
      <c r="E23" s="156">
        <v>-457</v>
      </c>
      <c r="F23" s="156">
        <v>-1261</v>
      </c>
      <c r="G23" s="156">
        <v>245</v>
      </c>
      <c r="H23" s="156">
        <v>595</v>
      </c>
    </row>
    <row r="24" spans="1:9" x14ac:dyDescent="0.25">
      <c r="A24" s="228" t="s">
        <v>350</v>
      </c>
      <c r="B24" s="259">
        <v>-4670</v>
      </c>
      <c r="C24" s="259">
        <v>-211</v>
      </c>
      <c r="D24" s="259">
        <v>-7058</v>
      </c>
      <c r="E24" s="156">
        <v>77693</v>
      </c>
      <c r="F24" s="156">
        <f>-6345-4150</f>
        <v>-10495</v>
      </c>
      <c r="G24" s="156">
        <v>68172</v>
      </c>
      <c r="H24" s="156">
        <v>-28587</v>
      </c>
    </row>
    <row r="25" spans="1:9" x14ac:dyDescent="0.25">
      <c r="A25" s="186" t="s">
        <v>351</v>
      </c>
      <c r="B25" s="259">
        <v>19906</v>
      </c>
      <c r="C25" s="259">
        <v>630</v>
      </c>
      <c r="D25" s="259">
        <v>30449</v>
      </c>
      <c r="E25" s="156">
        <v>-333594</v>
      </c>
      <c r="F25" s="156">
        <f>SUM(F21:F24)</f>
        <v>43488</v>
      </c>
      <c r="G25" s="156">
        <v>-290384</v>
      </c>
      <c r="H25" s="156">
        <v>122076</v>
      </c>
    </row>
    <row r="26" spans="1:9" x14ac:dyDescent="0.25">
      <c r="A26" s="186" t="s">
        <v>352</v>
      </c>
      <c r="B26" s="259">
        <v>968069</v>
      </c>
      <c r="C26" s="259">
        <v>992013</v>
      </c>
      <c r="D26" s="259">
        <v>1297383</v>
      </c>
      <c r="E26" s="156">
        <v>1217205</v>
      </c>
      <c r="F26" s="156">
        <f>F18+F25</f>
        <v>1389973</v>
      </c>
      <c r="G26" s="156">
        <v>895176</v>
      </c>
      <c r="H26" s="156">
        <v>-1682139</v>
      </c>
    </row>
    <row r="27" spans="1:9" x14ac:dyDescent="0.25">
      <c r="A27" s="186" t="s">
        <v>353</v>
      </c>
      <c r="B27" s="259"/>
      <c r="C27" s="259"/>
      <c r="D27" s="259"/>
      <c r="E27" s="156"/>
      <c r="F27" s="156"/>
      <c r="G27" s="156"/>
      <c r="H27" s="156"/>
    </row>
    <row r="28" spans="1:9" x14ac:dyDescent="0.25">
      <c r="A28" s="228" t="s">
        <v>228</v>
      </c>
      <c r="B28" s="259">
        <v>774426</v>
      </c>
      <c r="C28" s="259">
        <v>858656</v>
      </c>
      <c r="D28" s="259">
        <v>1245116</v>
      </c>
      <c r="E28" s="156">
        <v>1476392</v>
      </c>
      <c r="F28" s="156">
        <v>1308318</v>
      </c>
      <c r="G28" s="156">
        <v>1180893</v>
      </c>
      <c r="H28" s="156">
        <v>-1807317</v>
      </c>
    </row>
    <row r="29" spans="1:9" x14ac:dyDescent="0.25">
      <c r="A29" s="228" t="s">
        <v>229</v>
      </c>
      <c r="B29" s="259">
        <v>173737</v>
      </c>
      <c r="C29" s="259">
        <v>132727</v>
      </c>
      <c r="D29" s="259">
        <v>21818</v>
      </c>
      <c r="E29" s="156">
        <v>74407</v>
      </c>
      <c r="F29" s="156">
        <v>38167</v>
      </c>
      <c r="G29" s="156">
        <v>4667</v>
      </c>
      <c r="H29" s="156">
        <v>3102</v>
      </c>
    </row>
    <row r="30" spans="1:9" x14ac:dyDescent="0.25">
      <c r="A30" s="186" t="s">
        <v>230</v>
      </c>
      <c r="B30" s="259"/>
      <c r="C30" s="259"/>
      <c r="D30" s="259"/>
      <c r="E30" s="156"/>
      <c r="F30" s="156"/>
      <c r="G30" s="156"/>
      <c r="H30" s="156"/>
    </row>
    <row r="31" spans="1:9" x14ac:dyDescent="0.25">
      <c r="A31" s="228" t="s">
        <v>228</v>
      </c>
      <c r="B31" s="259">
        <v>791425</v>
      </c>
      <c r="C31" s="259">
        <v>859151</v>
      </c>
      <c r="D31" s="259">
        <v>1273637</v>
      </c>
      <c r="E31" s="156">
        <v>1157617</v>
      </c>
      <c r="F31" s="156">
        <v>1349123</v>
      </c>
      <c r="G31" s="156">
        <v>890879</v>
      </c>
      <c r="H31" s="156">
        <v>-1685301</v>
      </c>
    </row>
    <row r="32" spans="1:9" x14ac:dyDescent="0.25">
      <c r="A32" s="263" t="s">
        <v>229</v>
      </c>
      <c r="B32" s="253">
        <v>176644</v>
      </c>
      <c r="C32" s="253">
        <v>132862</v>
      </c>
      <c r="D32" s="253">
        <v>23746</v>
      </c>
      <c r="E32" s="253">
        <v>59588</v>
      </c>
      <c r="F32" s="253">
        <v>40850</v>
      </c>
      <c r="G32" s="253">
        <v>4297</v>
      </c>
      <c r="H32" s="333">
        <v>3162</v>
      </c>
    </row>
    <row r="33" spans="1:9" x14ac:dyDescent="0.25">
      <c r="A33" s="183"/>
      <c r="B33" s="241"/>
      <c r="C33" s="241"/>
      <c r="D33" s="241"/>
      <c r="E33" s="241"/>
      <c r="F33" s="241"/>
      <c r="G33" s="265"/>
      <c r="H33" s="332"/>
    </row>
    <row r="34" spans="1:9" x14ac:dyDescent="0.25">
      <c r="A34" s="257" t="s">
        <v>354</v>
      </c>
      <c r="B34" s="258"/>
      <c r="C34" s="258"/>
      <c r="D34" s="258"/>
      <c r="E34" s="258"/>
      <c r="F34" s="258"/>
    </row>
    <row r="35" spans="1:9" x14ac:dyDescent="0.25">
      <c r="A35" s="229" t="s">
        <v>355</v>
      </c>
      <c r="B35" s="266">
        <v>0.5</v>
      </c>
      <c r="C35" s="266">
        <v>0.54</v>
      </c>
      <c r="D35" s="266">
        <v>0.71</v>
      </c>
      <c r="E35" s="266">
        <v>0.84</v>
      </c>
      <c r="F35" s="266">
        <v>0.75</v>
      </c>
      <c r="G35" s="266">
        <v>0.67</v>
      </c>
      <c r="H35" s="334">
        <v>-1.03</v>
      </c>
    </row>
    <row r="36" spans="1:9" x14ac:dyDescent="0.25">
      <c r="B36" s="245"/>
      <c r="C36" s="245"/>
      <c r="D36" s="245"/>
      <c r="E36" s="245"/>
    </row>
    <row r="37" spans="1:9" ht="15.75" x14ac:dyDescent="0.25">
      <c r="A37" s="269" t="s">
        <v>232</v>
      </c>
      <c r="B37" s="270"/>
      <c r="C37" s="270"/>
      <c r="D37" s="270"/>
      <c r="E37" s="270"/>
      <c r="F37" s="270"/>
      <c r="G37" s="270"/>
      <c r="H37" s="270"/>
    </row>
    <row r="38" spans="1:9" ht="25.5" x14ac:dyDescent="0.25">
      <c r="A38" s="145" t="s">
        <v>86</v>
      </c>
      <c r="B38" s="146" t="s">
        <v>500</v>
      </c>
      <c r="C38" s="146" t="s">
        <v>360</v>
      </c>
      <c r="D38" s="146" t="s">
        <v>364</v>
      </c>
      <c r="E38" s="146" t="s">
        <v>368</v>
      </c>
      <c r="F38" s="146" t="s">
        <v>501</v>
      </c>
      <c r="G38" s="146" t="s">
        <v>502</v>
      </c>
      <c r="H38" s="146" t="s">
        <v>503</v>
      </c>
    </row>
    <row r="39" spans="1:9" x14ac:dyDescent="0.25">
      <c r="A39" s="183" t="s">
        <v>235</v>
      </c>
      <c r="B39" s="156"/>
      <c r="C39" s="156"/>
      <c r="D39" s="156"/>
      <c r="E39" s="156"/>
    </row>
    <row r="40" spans="1:9" x14ac:dyDescent="0.25">
      <c r="A40" s="183" t="s">
        <v>236</v>
      </c>
      <c r="B40" s="156"/>
      <c r="C40" s="156"/>
      <c r="D40" s="156"/>
      <c r="E40" s="156"/>
    </row>
    <row r="41" spans="1:9" x14ac:dyDescent="0.25">
      <c r="A41" s="183" t="s">
        <v>237</v>
      </c>
      <c r="B41" s="156">
        <v>17260573</v>
      </c>
      <c r="C41" s="156">
        <v>17524936</v>
      </c>
      <c r="D41" s="156">
        <v>21636317</v>
      </c>
      <c r="E41" s="156">
        <v>23300643</v>
      </c>
      <c r="F41" s="156">
        <v>25127639</v>
      </c>
      <c r="G41" s="156">
        <v>24850942</v>
      </c>
      <c r="H41" s="156">
        <v>24882817</v>
      </c>
      <c r="I41" s="245"/>
    </row>
    <row r="42" spans="1:9" x14ac:dyDescent="0.25">
      <c r="A42" s="183" t="s">
        <v>238</v>
      </c>
      <c r="B42" s="349" t="s">
        <v>504</v>
      </c>
      <c r="C42" s="349" t="s">
        <v>385</v>
      </c>
      <c r="D42" s="156">
        <v>247057</v>
      </c>
      <c r="E42" s="156">
        <v>247057</v>
      </c>
      <c r="F42" s="156">
        <v>247057</v>
      </c>
      <c r="G42" s="156">
        <v>195155</v>
      </c>
      <c r="H42" s="156">
        <v>92059</v>
      </c>
      <c r="I42" s="245"/>
    </row>
    <row r="43" spans="1:9" x14ac:dyDescent="0.25">
      <c r="A43" s="183" t="s">
        <v>398</v>
      </c>
      <c r="B43" s="350"/>
      <c r="C43" s="350"/>
      <c r="D43" s="156">
        <v>1152617</v>
      </c>
      <c r="E43" s="156">
        <v>1182256</v>
      </c>
      <c r="F43" s="156">
        <v>1160005</v>
      </c>
      <c r="G43" s="156">
        <v>1604634</v>
      </c>
      <c r="H43" s="156">
        <v>1693605</v>
      </c>
      <c r="I43" s="245"/>
    </row>
    <row r="44" spans="1:9" x14ac:dyDescent="0.25">
      <c r="A44" s="183" t="s">
        <v>396</v>
      </c>
      <c r="B44" s="149">
        <v>0</v>
      </c>
      <c r="C44" s="156">
        <v>764</v>
      </c>
      <c r="D44" s="156">
        <v>22717</v>
      </c>
      <c r="E44" s="156">
        <v>51986</v>
      </c>
      <c r="F44" s="156">
        <v>44398</v>
      </c>
      <c r="G44" s="156">
        <v>414584</v>
      </c>
      <c r="H44" s="156">
        <v>418127</v>
      </c>
      <c r="I44" s="245"/>
    </row>
    <row r="45" spans="1:9" x14ac:dyDescent="0.25">
      <c r="A45" s="183" t="s">
        <v>243</v>
      </c>
      <c r="B45" s="156">
        <v>179746</v>
      </c>
      <c r="C45" s="156">
        <v>177452</v>
      </c>
      <c r="D45" s="156">
        <v>193067</v>
      </c>
      <c r="E45" s="156">
        <v>305444</v>
      </c>
      <c r="F45" s="156">
        <v>587166</v>
      </c>
      <c r="G45" s="156">
        <v>377383</v>
      </c>
      <c r="H45" s="156">
        <v>433018</v>
      </c>
      <c r="I45" s="245"/>
    </row>
    <row r="46" spans="1:9" x14ac:dyDescent="0.25">
      <c r="A46" s="183" t="s">
        <v>244</v>
      </c>
      <c r="B46" s="156">
        <v>58547</v>
      </c>
      <c r="C46" s="156">
        <v>181832</v>
      </c>
      <c r="D46" s="156">
        <v>144923</v>
      </c>
      <c r="E46" s="156">
        <v>359709</v>
      </c>
      <c r="F46" s="156">
        <v>354704</v>
      </c>
      <c r="G46" s="156">
        <v>657943</v>
      </c>
      <c r="H46" s="156">
        <v>550375</v>
      </c>
      <c r="I46" s="245"/>
    </row>
    <row r="47" spans="1:9" x14ac:dyDescent="0.25">
      <c r="A47" s="202" t="s">
        <v>397</v>
      </c>
      <c r="B47" s="208">
        <v>152221.47021</v>
      </c>
      <c r="C47" s="208">
        <v>163063</v>
      </c>
      <c r="D47" s="208">
        <v>20079</v>
      </c>
      <c r="E47" s="208">
        <v>24135</v>
      </c>
      <c r="F47" s="208">
        <v>46039</v>
      </c>
      <c r="G47" s="208">
        <v>62108</v>
      </c>
      <c r="H47" s="208">
        <v>54184</v>
      </c>
      <c r="I47" s="245"/>
    </row>
    <row r="48" spans="1:9" x14ac:dyDescent="0.25">
      <c r="A48" s="186"/>
      <c r="B48" s="188">
        <v>17993953.470210001</v>
      </c>
      <c r="C48" s="188">
        <v>18394387</v>
      </c>
      <c r="D48" s="188">
        <v>23416777</v>
      </c>
      <c r="E48" s="188">
        <v>25471230</v>
      </c>
      <c r="F48" s="188">
        <v>27567008</v>
      </c>
      <c r="G48" s="188">
        <v>28162749</v>
      </c>
      <c r="H48" s="188">
        <v>28124185</v>
      </c>
      <c r="I48" s="245"/>
    </row>
    <row r="49" spans="1:9" x14ac:dyDescent="0.25">
      <c r="A49" s="186" t="s">
        <v>246</v>
      </c>
      <c r="B49" s="188"/>
      <c r="C49" s="188"/>
      <c r="D49" s="188"/>
      <c r="E49" s="188"/>
      <c r="F49" s="188"/>
      <c r="I49" s="245"/>
    </row>
    <row r="50" spans="1:9" x14ac:dyDescent="0.25">
      <c r="A50" s="186" t="s">
        <v>398</v>
      </c>
      <c r="B50" s="188">
        <v>481885</v>
      </c>
      <c r="C50" s="188">
        <v>624190</v>
      </c>
      <c r="D50" s="188">
        <v>870954</v>
      </c>
      <c r="E50" s="188">
        <v>711099</v>
      </c>
      <c r="F50" s="188">
        <v>1156550</v>
      </c>
      <c r="G50" s="188">
        <v>733048</v>
      </c>
      <c r="H50" s="188">
        <v>805388</v>
      </c>
      <c r="I50" s="245"/>
    </row>
    <row r="51" spans="1:9" x14ac:dyDescent="0.25">
      <c r="A51" s="186" t="s">
        <v>247</v>
      </c>
      <c r="B51" s="188">
        <v>536201</v>
      </c>
      <c r="C51" s="188">
        <v>408560</v>
      </c>
      <c r="D51" s="188">
        <v>574790</v>
      </c>
      <c r="E51" s="188">
        <v>708282</v>
      </c>
      <c r="F51" s="188">
        <v>509224</v>
      </c>
      <c r="G51" s="188">
        <v>527596</v>
      </c>
      <c r="H51" s="188">
        <v>433279</v>
      </c>
      <c r="I51" s="245"/>
    </row>
    <row r="52" spans="1:9" x14ac:dyDescent="0.25">
      <c r="A52" s="186" t="s">
        <v>399</v>
      </c>
      <c r="B52" s="188">
        <v>52926</v>
      </c>
      <c r="C52" s="188">
        <v>74749</v>
      </c>
      <c r="D52" s="188">
        <v>64266</v>
      </c>
      <c r="E52" s="188">
        <v>1434</v>
      </c>
      <c r="F52" s="188">
        <v>31890</v>
      </c>
      <c r="G52" s="188">
        <v>26489</v>
      </c>
      <c r="H52" s="188">
        <v>909</v>
      </c>
      <c r="I52" s="245"/>
    </row>
    <row r="53" spans="1:9" x14ac:dyDescent="0.25">
      <c r="A53" s="186" t="s">
        <v>400</v>
      </c>
      <c r="B53" s="188">
        <v>1874996</v>
      </c>
      <c r="C53" s="188">
        <v>2273145</v>
      </c>
      <c r="D53" s="188">
        <v>2743344</v>
      </c>
      <c r="E53" s="188">
        <v>3036695</v>
      </c>
      <c r="F53" s="188">
        <v>2134641</v>
      </c>
      <c r="G53" s="188">
        <v>1969169</v>
      </c>
      <c r="H53" s="188">
        <v>1854595</v>
      </c>
      <c r="I53" s="245"/>
    </row>
    <row r="54" spans="1:9" x14ac:dyDescent="0.25">
      <c r="A54" s="186" t="s">
        <v>243</v>
      </c>
      <c r="B54" s="188">
        <v>18753</v>
      </c>
      <c r="C54" s="188">
        <v>28193</v>
      </c>
      <c r="D54" s="188">
        <v>108024</v>
      </c>
      <c r="E54" s="188">
        <v>5422</v>
      </c>
      <c r="F54" s="188">
        <v>15878</v>
      </c>
      <c r="G54" s="188">
        <v>27539</v>
      </c>
      <c r="H54" s="188">
        <v>9772</v>
      </c>
      <c r="I54" s="245"/>
    </row>
    <row r="55" spans="1:9" x14ac:dyDescent="0.25">
      <c r="A55" s="186" t="s">
        <v>244</v>
      </c>
      <c r="B55" s="188">
        <v>158725</v>
      </c>
      <c r="C55" s="188">
        <v>145361</v>
      </c>
      <c r="D55" s="188">
        <v>234220</v>
      </c>
      <c r="E55" s="188">
        <v>272371</v>
      </c>
      <c r="F55" s="188">
        <v>270429</v>
      </c>
      <c r="G55" s="188">
        <v>353989</v>
      </c>
      <c r="H55" s="188">
        <v>460495</v>
      </c>
      <c r="I55" s="245"/>
    </row>
    <row r="56" spans="1:9" x14ac:dyDescent="0.25">
      <c r="A56" s="186" t="s">
        <v>250</v>
      </c>
      <c r="B56" s="188">
        <v>1032103</v>
      </c>
      <c r="C56" s="188">
        <v>1473981</v>
      </c>
      <c r="D56" s="188">
        <v>505670</v>
      </c>
      <c r="E56" s="188">
        <v>1030929</v>
      </c>
      <c r="F56" s="188">
        <v>636909</v>
      </c>
      <c r="G56" s="188">
        <v>1420909</v>
      </c>
      <c r="H56" s="188">
        <v>364912</v>
      </c>
      <c r="I56" s="245"/>
    </row>
    <row r="57" spans="1:9" x14ac:dyDescent="0.25">
      <c r="A57" s="190" t="s">
        <v>401</v>
      </c>
      <c r="B57" s="208">
        <v>5951</v>
      </c>
      <c r="C57" s="335">
        <v>4397</v>
      </c>
      <c r="D57" s="208">
        <v>8951</v>
      </c>
      <c r="E57" s="208">
        <v>36215</v>
      </c>
      <c r="F57" s="335">
        <v>33041</v>
      </c>
      <c r="G57" s="208">
        <v>1337705</v>
      </c>
      <c r="H57" s="208">
        <v>17898</v>
      </c>
      <c r="I57" s="245"/>
    </row>
    <row r="58" spans="1:9" x14ac:dyDescent="0.25">
      <c r="A58" s="183"/>
      <c r="B58" s="156">
        <f>4155589+B57</f>
        <v>4161540</v>
      </c>
      <c r="C58" s="156">
        <f>5028179+C57</f>
        <v>5032576</v>
      </c>
      <c r="D58" s="156">
        <f>5101268+D57</f>
        <v>5110219</v>
      </c>
      <c r="E58" s="156">
        <f>5766232+E57</f>
        <v>5802447</v>
      </c>
      <c r="F58" s="156">
        <f>4755521+F57</f>
        <v>4788562</v>
      </c>
      <c r="G58" s="156">
        <v>6396444</v>
      </c>
      <c r="H58" s="156">
        <v>3947248</v>
      </c>
      <c r="I58" s="245"/>
    </row>
    <row r="59" spans="1:9" x14ac:dyDescent="0.25">
      <c r="A59" s="183"/>
      <c r="B59" s="156"/>
      <c r="C59" s="156"/>
      <c r="D59" s="156"/>
      <c r="E59" s="156"/>
      <c r="F59" s="156"/>
      <c r="G59" s="156"/>
      <c r="H59" s="156"/>
    </row>
    <row r="60" spans="1:9" x14ac:dyDescent="0.25">
      <c r="A60" s="147" t="s">
        <v>252</v>
      </c>
      <c r="B60" s="278">
        <v>22155493.470210001</v>
      </c>
      <c r="C60" s="278">
        <v>23426963</v>
      </c>
      <c r="D60" s="278">
        <v>28526996</v>
      </c>
      <c r="E60" s="278">
        <v>31273677</v>
      </c>
      <c r="F60" s="278">
        <v>32355570</v>
      </c>
      <c r="G60" s="278">
        <v>34559193</v>
      </c>
      <c r="H60" s="278">
        <v>32071433</v>
      </c>
      <c r="I60" s="245"/>
    </row>
    <row r="61" spans="1:9" x14ac:dyDescent="0.25">
      <c r="A61" s="183"/>
      <c r="B61" s="156"/>
      <c r="C61" s="156"/>
      <c r="D61" s="156"/>
      <c r="E61" s="156"/>
      <c r="F61" s="156"/>
      <c r="G61" s="279"/>
      <c r="H61" s="279"/>
    </row>
    <row r="62" spans="1:9" x14ac:dyDescent="0.25">
      <c r="A62" s="257" t="s">
        <v>253</v>
      </c>
      <c r="B62" s="185"/>
      <c r="C62" s="185"/>
      <c r="D62" s="185"/>
      <c r="E62" s="185"/>
      <c r="F62" s="185"/>
    </row>
    <row r="63" spans="1:9" x14ac:dyDescent="0.25">
      <c r="A63" s="186" t="s">
        <v>254</v>
      </c>
      <c r="B63" s="188"/>
      <c r="C63" s="188"/>
      <c r="D63" s="188"/>
      <c r="E63" s="188"/>
    </row>
    <row r="64" spans="1:9" x14ac:dyDescent="0.25">
      <c r="A64" s="186" t="s">
        <v>255</v>
      </c>
      <c r="B64" s="188">
        <v>13986284</v>
      </c>
      <c r="C64" s="188">
        <v>15772945</v>
      </c>
      <c r="D64" s="188">
        <v>8762747</v>
      </c>
      <c r="E64" s="188">
        <v>8762747</v>
      </c>
      <c r="F64" s="188">
        <v>8762747</v>
      </c>
      <c r="G64" s="188">
        <v>8762747</v>
      </c>
      <c r="H64" s="188">
        <v>8762747</v>
      </c>
      <c r="I64" s="245"/>
    </row>
    <row r="65" spans="1:9" x14ac:dyDescent="0.25">
      <c r="A65" s="186" t="s">
        <v>256</v>
      </c>
      <c r="B65" s="188">
        <v>64050</v>
      </c>
      <c r="C65" s="188">
        <v>475088</v>
      </c>
      <c r="D65" s="188">
        <v>7412882</v>
      </c>
      <c r="E65" s="188">
        <v>7953021</v>
      </c>
      <c r="F65" s="188">
        <v>9037699</v>
      </c>
      <c r="G65" s="188">
        <v>10393686</v>
      </c>
      <c r="H65" s="188">
        <v>11277247</v>
      </c>
      <c r="I65" s="245"/>
    </row>
    <row r="66" spans="1:9" x14ac:dyDescent="0.25">
      <c r="A66" s="186" t="s">
        <v>257</v>
      </c>
      <c r="B66" s="188">
        <v>-766</v>
      </c>
      <c r="C66" s="282">
        <v>0</v>
      </c>
      <c r="D66" s="282">
        <v>0</v>
      </c>
      <c r="E66" s="188">
        <v>-153703</v>
      </c>
      <c r="F66" s="188">
        <v>-126651</v>
      </c>
      <c r="G66" s="188">
        <v>-143019</v>
      </c>
      <c r="H66" s="188">
        <v>-73414</v>
      </c>
      <c r="I66" s="245"/>
    </row>
    <row r="67" spans="1:9" x14ac:dyDescent="0.25">
      <c r="A67" s="186" t="s">
        <v>219</v>
      </c>
      <c r="B67" s="282">
        <v>0</v>
      </c>
      <c r="C67" s="188">
        <v>-271</v>
      </c>
      <c r="D67" s="188">
        <v>87</v>
      </c>
      <c r="E67" s="188">
        <v>-370</v>
      </c>
      <c r="F67" s="188">
        <v>-1631</v>
      </c>
      <c r="G67" s="188">
        <v>-1386</v>
      </c>
      <c r="H67" s="188">
        <v>-791</v>
      </c>
      <c r="I67" s="245"/>
    </row>
    <row r="68" spans="1:9" x14ac:dyDescent="0.25">
      <c r="A68" s="190" t="s">
        <v>403</v>
      </c>
      <c r="B68" s="208">
        <v>-2191001.9824599996</v>
      </c>
      <c r="C68" s="208">
        <v>-1641605</v>
      </c>
      <c r="D68" s="208">
        <v>-481414</v>
      </c>
      <c r="E68" s="208">
        <v>-255014</v>
      </c>
      <c r="F68" s="208">
        <v>-344999</v>
      </c>
      <c r="G68" s="208">
        <v>-1045580</v>
      </c>
      <c r="H68" s="208">
        <v>-3947461</v>
      </c>
      <c r="I68" s="245"/>
    </row>
    <row r="69" spans="1:9" x14ac:dyDescent="0.25">
      <c r="A69" s="183"/>
      <c r="B69" s="188">
        <v>11858566.01754</v>
      </c>
      <c r="C69" s="188">
        <v>14606157</v>
      </c>
      <c r="D69" s="188">
        <v>15694302</v>
      </c>
      <c r="E69" s="188">
        <v>16306681</v>
      </c>
      <c r="F69" s="188">
        <v>17327165</v>
      </c>
      <c r="G69" s="188">
        <v>17966448</v>
      </c>
      <c r="H69" s="188">
        <v>16018328</v>
      </c>
      <c r="I69" s="245"/>
    </row>
    <row r="70" spans="1:9" x14ac:dyDescent="0.25">
      <c r="A70" s="183"/>
      <c r="B70" s="156"/>
      <c r="C70" s="156"/>
      <c r="D70" s="156"/>
      <c r="E70" s="156"/>
      <c r="F70" s="156"/>
      <c r="G70" s="156"/>
      <c r="H70" s="156"/>
      <c r="I70" s="245"/>
    </row>
    <row r="71" spans="1:9" x14ac:dyDescent="0.25">
      <c r="A71" s="183" t="s">
        <v>259</v>
      </c>
      <c r="B71" s="156">
        <v>2375100.4148599999</v>
      </c>
      <c r="C71" s="156">
        <v>496279</v>
      </c>
      <c r="D71" s="156">
        <v>455203</v>
      </c>
      <c r="E71" s="156">
        <v>493339</v>
      </c>
      <c r="F71" s="156">
        <v>466334</v>
      </c>
      <c r="G71" s="156">
        <v>30116</v>
      </c>
      <c r="H71" s="156">
        <v>29829</v>
      </c>
      <c r="I71" s="245"/>
    </row>
    <row r="72" spans="1:9" x14ac:dyDescent="0.25">
      <c r="A72" s="183"/>
      <c r="B72" s="156"/>
      <c r="C72" s="156"/>
      <c r="D72" s="156"/>
      <c r="E72" s="156"/>
      <c r="F72" s="156"/>
      <c r="G72" s="156"/>
      <c r="H72" s="156"/>
      <c r="I72" s="245"/>
    </row>
    <row r="73" spans="1:9" x14ac:dyDescent="0.25">
      <c r="A73" s="196" t="s">
        <v>260</v>
      </c>
      <c r="B73" s="279">
        <v>14233666.432399999</v>
      </c>
      <c r="C73" s="279">
        <v>15102436</v>
      </c>
      <c r="D73" s="279">
        <v>16149505</v>
      </c>
      <c r="E73" s="279">
        <v>16800020</v>
      </c>
      <c r="F73" s="279">
        <v>17793499</v>
      </c>
      <c r="G73" s="279">
        <v>17996564</v>
      </c>
      <c r="H73" s="279">
        <v>16048157</v>
      </c>
      <c r="I73" s="245"/>
    </row>
    <row r="74" spans="1:9" x14ac:dyDescent="0.25">
      <c r="A74" s="183"/>
      <c r="B74" s="156"/>
      <c r="C74" s="156"/>
      <c r="D74" s="156"/>
      <c r="E74" s="156"/>
      <c r="F74" s="156"/>
      <c r="G74" s="156"/>
      <c r="H74" s="156"/>
    </row>
    <row r="75" spans="1:9" x14ac:dyDescent="0.25">
      <c r="A75" s="257" t="s">
        <v>261</v>
      </c>
      <c r="B75" s="185"/>
      <c r="C75" s="185"/>
      <c r="D75" s="185"/>
      <c r="E75" s="185"/>
      <c r="F75" s="185"/>
      <c r="G75" s="185"/>
      <c r="H75" s="185"/>
    </row>
    <row r="76" spans="1:9" x14ac:dyDescent="0.25">
      <c r="A76" s="186" t="s">
        <v>404</v>
      </c>
      <c r="B76" s="188">
        <v>1179406</v>
      </c>
      <c r="C76" s="188">
        <v>1076178</v>
      </c>
      <c r="D76" s="188">
        <v>4251944</v>
      </c>
      <c r="E76" s="188">
        <v>5222882</v>
      </c>
      <c r="F76" s="188">
        <v>5500532</v>
      </c>
      <c r="G76" s="188">
        <v>7422332</v>
      </c>
      <c r="H76" s="188">
        <v>4890404</v>
      </c>
      <c r="I76" s="245"/>
    </row>
    <row r="77" spans="1:9" x14ac:dyDescent="0.25">
      <c r="A77" s="186" t="s">
        <v>405</v>
      </c>
      <c r="B77" s="188">
        <v>88291</v>
      </c>
      <c r="C77" s="188">
        <v>67810</v>
      </c>
      <c r="D77" s="188">
        <v>56232</v>
      </c>
      <c r="E77" s="188">
        <v>41796</v>
      </c>
      <c r="F77" s="188">
        <v>61643</v>
      </c>
      <c r="G77" s="188">
        <v>46443</v>
      </c>
      <c r="H77" s="188">
        <v>33723</v>
      </c>
      <c r="I77" s="245"/>
    </row>
    <row r="78" spans="1:9" x14ac:dyDescent="0.25">
      <c r="A78" s="186" t="s">
        <v>406</v>
      </c>
      <c r="B78" s="188">
        <v>5683</v>
      </c>
      <c r="C78" s="188">
        <v>6910</v>
      </c>
      <c r="D78" s="188">
        <v>7968</v>
      </c>
      <c r="E78" s="188">
        <v>7890</v>
      </c>
      <c r="F78" s="188">
        <v>7827</v>
      </c>
      <c r="G78" s="188">
        <v>48986</v>
      </c>
      <c r="H78" s="188">
        <v>86549</v>
      </c>
      <c r="I78" s="245"/>
    </row>
    <row r="79" spans="1:9" x14ac:dyDescent="0.25">
      <c r="A79" s="186" t="s">
        <v>407</v>
      </c>
      <c r="B79" s="275" t="s">
        <v>408</v>
      </c>
      <c r="C79" s="282">
        <v>0</v>
      </c>
      <c r="D79" s="282">
        <v>0</v>
      </c>
      <c r="E79" s="188">
        <v>150594</v>
      </c>
      <c r="F79" s="188">
        <v>87573</v>
      </c>
      <c r="G79" s="188">
        <v>93501</v>
      </c>
      <c r="H79" s="188">
        <v>15156</v>
      </c>
      <c r="I79" s="245"/>
    </row>
    <row r="80" spans="1:9" x14ac:dyDescent="0.25">
      <c r="A80" s="186" t="s">
        <v>263</v>
      </c>
      <c r="B80" s="347" t="s">
        <v>505</v>
      </c>
      <c r="C80" s="188">
        <v>1158941</v>
      </c>
      <c r="D80" s="188">
        <v>1203375</v>
      </c>
      <c r="E80" s="188">
        <v>1568219</v>
      </c>
      <c r="F80" s="188">
        <v>1497814</v>
      </c>
      <c r="G80" s="188">
        <v>1948323</v>
      </c>
      <c r="H80" s="188">
        <v>1735206</v>
      </c>
      <c r="I80" s="245"/>
    </row>
    <row r="81" spans="1:9" x14ac:dyDescent="0.25">
      <c r="A81" s="186" t="s">
        <v>418</v>
      </c>
      <c r="B81" s="348"/>
      <c r="C81" s="188">
        <v>30861</v>
      </c>
      <c r="D81" s="188">
        <v>61200</v>
      </c>
      <c r="E81" s="188">
        <v>82523</v>
      </c>
      <c r="F81" s="188">
        <v>141408</v>
      </c>
      <c r="G81" s="188">
        <v>165278</v>
      </c>
      <c r="H81" s="188">
        <v>377372</v>
      </c>
      <c r="I81" s="245"/>
    </row>
    <row r="82" spans="1:9" x14ac:dyDescent="0.25">
      <c r="A82" s="186" t="s">
        <v>265</v>
      </c>
      <c r="B82" s="188">
        <v>624567</v>
      </c>
      <c r="C82" s="188">
        <v>644522</v>
      </c>
      <c r="D82" s="188">
        <v>569562</v>
      </c>
      <c r="E82" s="188">
        <v>639643</v>
      </c>
      <c r="F82" s="188">
        <v>668487</v>
      </c>
      <c r="G82" s="188">
        <v>662072</v>
      </c>
      <c r="H82" s="188">
        <v>650364</v>
      </c>
      <c r="I82" s="245"/>
    </row>
    <row r="83" spans="1:9" x14ac:dyDescent="0.25">
      <c r="A83" s="202" t="s">
        <v>419</v>
      </c>
      <c r="B83" s="208">
        <v>1150695</v>
      </c>
      <c r="C83" s="208">
        <v>1191155</v>
      </c>
      <c r="D83" s="208">
        <v>1388424</v>
      </c>
      <c r="E83" s="208">
        <v>1367687</v>
      </c>
      <c r="F83" s="208">
        <v>1339057</v>
      </c>
      <c r="G83" s="208">
        <v>1357157</v>
      </c>
      <c r="H83" s="208">
        <v>795176</v>
      </c>
      <c r="I83" s="245"/>
    </row>
    <row r="84" spans="1:9" x14ac:dyDescent="0.25">
      <c r="A84" s="186"/>
      <c r="B84" s="188">
        <v>4027449</v>
      </c>
      <c r="C84" s="188">
        <v>4176377</v>
      </c>
      <c r="D84" s="188">
        <v>7538705</v>
      </c>
      <c r="E84" s="188">
        <v>9081234</v>
      </c>
      <c r="F84" s="188">
        <v>9304341</v>
      </c>
      <c r="G84" s="188">
        <v>11744092</v>
      </c>
      <c r="H84" s="188">
        <v>8583950</v>
      </c>
      <c r="I84" s="245"/>
    </row>
    <row r="85" spans="1:9" x14ac:dyDescent="0.25">
      <c r="A85" s="186" t="s">
        <v>268</v>
      </c>
      <c r="B85" s="188"/>
      <c r="C85" s="188"/>
      <c r="D85" s="188"/>
      <c r="E85" s="188"/>
      <c r="F85" s="188"/>
      <c r="I85" s="245"/>
    </row>
    <row r="86" spans="1:9" x14ac:dyDescent="0.25">
      <c r="A86" s="186" t="s">
        <v>420</v>
      </c>
      <c r="B86" s="188">
        <v>596315</v>
      </c>
      <c r="C86" s="188">
        <v>325027</v>
      </c>
      <c r="D86" s="188">
        <v>214169</v>
      </c>
      <c r="E86" s="188">
        <v>286990</v>
      </c>
      <c r="F86" s="188">
        <v>284633</v>
      </c>
      <c r="G86" s="188">
        <v>631530</v>
      </c>
      <c r="H86" s="188">
        <v>3201805</v>
      </c>
      <c r="I86" s="245"/>
    </row>
    <row r="87" spans="1:9" x14ac:dyDescent="0.25">
      <c r="A87" s="186" t="s">
        <v>421</v>
      </c>
      <c r="B87" s="188">
        <v>35377</v>
      </c>
      <c r="C87" s="188">
        <v>23452</v>
      </c>
      <c r="D87" s="188">
        <v>14761</v>
      </c>
      <c r="E87" s="188">
        <v>14482</v>
      </c>
      <c r="F87" s="188">
        <v>17327</v>
      </c>
      <c r="G87" s="188">
        <v>13461</v>
      </c>
      <c r="H87" s="188">
        <v>12715</v>
      </c>
      <c r="I87" s="245"/>
    </row>
    <row r="88" spans="1:9" x14ac:dyDescent="0.25">
      <c r="A88" s="186" t="s">
        <v>422</v>
      </c>
      <c r="B88" s="188">
        <v>1490726</v>
      </c>
      <c r="C88" s="188">
        <v>1622806</v>
      </c>
      <c r="D88" s="188">
        <v>2349121</v>
      </c>
      <c r="E88" s="188">
        <v>2628449</v>
      </c>
      <c r="F88" s="188">
        <v>2023537</v>
      </c>
      <c r="G88" s="188">
        <v>1866865</v>
      </c>
      <c r="H88" s="188">
        <v>1801262</v>
      </c>
      <c r="I88" s="245"/>
    </row>
    <row r="89" spans="1:9" x14ac:dyDescent="0.25">
      <c r="A89" s="186" t="s">
        <v>407</v>
      </c>
      <c r="B89" s="275" t="s">
        <v>408</v>
      </c>
      <c r="C89" s="188">
        <v>6917</v>
      </c>
      <c r="D89" s="188">
        <v>80</v>
      </c>
      <c r="E89" s="188">
        <v>40624</v>
      </c>
      <c r="F89" s="188">
        <v>73358</v>
      </c>
      <c r="G89" s="188">
        <v>102615</v>
      </c>
      <c r="H89" s="188">
        <v>96953</v>
      </c>
      <c r="I89" s="245"/>
    </row>
    <row r="90" spans="1:9" x14ac:dyDescent="0.25">
      <c r="A90" s="186" t="s">
        <v>263</v>
      </c>
      <c r="B90" s="347" t="s">
        <v>506</v>
      </c>
      <c r="C90" s="188">
        <v>169492</v>
      </c>
      <c r="D90" s="188">
        <v>153676</v>
      </c>
      <c r="E90" s="188">
        <v>167704</v>
      </c>
      <c r="F90" s="188">
        <v>162368</v>
      </c>
      <c r="G90" s="188">
        <v>158954</v>
      </c>
      <c r="H90" s="188">
        <v>172505</v>
      </c>
      <c r="I90" s="245"/>
    </row>
    <row r="91" spans="1:9" x14ac:dyDescent="0.25">
      <c r="A91" s="186" t="s">
        <v>418</v>
      </c>
      <c r="B91" s="348"/>
      <c r="C91" s="188">
        <v>989253</v>
      </c>
      <c r="D91" s="188">
        <v>1023328</v>
      </c>
      <c r="E91" s="188">
        <v>1103036</v>
      </c>
      <c r="F91" s="188">
        <v>1563019</v>
      </c>
      <c r="G91" s="188">
        <v>1081415</v>
      </c>
      <c r="H91" s="188">
        <v>1196178</v>
      </c>
      <c r="I91" s="245"/>
    </row>
    <row r="92" spans="1:9" x14ac:dyDescent="0.25">
      <c r="A92" s="186" t="s">
        <v>265</v>
      </c>
      <c r="B92" s="188">
        <v>210267</v>
      </c>
      <c r="C92" s="188">
        <v>189712</v>
      </c>
      <c r="D92" s="188">
        <v>275147</v>
      </c>
      <c r="E92" s="188">
        <v>268870</v>
      </c>
      <c r="F92" s="188">
        <v>239639</v>
      </c>
      <c r="G92" s="188">
        <v>245520</v>
      </c>
      <c r="H92" s="188">
        <v>254337</v>
      </c>
      <c r="I92" s="245"/>
    </row>
    <row r="93" spans="1:9" x14ac:dyDescent="0.25">
      <c r="A93" s="186" t="s">
        <v>432</v>
      </c>
      <c r="B93" s="188">
        <v>67034</v>
      </c>
      <c r="C93" s="188">
        <v>68672</v>
      </c>
      <c r="D93" s="188">
        <v>163437</v>
      </c>
      <c r="E93" s="188">
        <v>113034</v>
      </c>
      <c r="F93" s="188">
        <v>79035</v>
      </c>
      <c r="G93" s="188">
        <v>13518</v>
      </c>
      <c r="H93" s="188">
        <v>85357</v>
      </c>
      <c r="I93" s="245"/>
    </row>
    <row r="94" spans="1:9" x14ac:dyDescent="0.25">
      <c r="A94" s="186" t="s">
        <v>275</v>
      </c>
      <c r="B94" s="188">
        <v>556669</v>
      </c>
      <c r="C94" s="188">
        <v>752819</v>
      </c>
      <c r="D94" s="188">
        <v>645067</v>
      </c>
      <c r="E94" s="188">
        <v>769234</v>
      </c>
      <c r="F94" s="188">
        <v>814814</v>
      </c>
      <c r="G94" s="188">
        <v>619689</v>
      </c>
      <c r="H94" s="188">
        <v>618214</v>
      </c>
      <c r="I94" s="245"/>
    </row>
    <row r="95" spans="1:9" x14ac:dyDescent="0.25">
      <c r="A95" s="190" t="s">
        <v>433</v>
      </c>
      <c r="B95" s="268">
        <v>0</v>
      </c>
      <c r="C95" s="268">
        <v>0</v>
      </c>
      <c r="D95" s="268">
        <v>0</v>
      </c>
      <c r="E95" s="268">
        <v>0</v>
      </c>
      <c r="F95" s="268">
        <v>0</v>
      </c>
      <c r="G95" s="208">
        <v>84970</v>
      </c>
      <c r="H95" s="336">
        <v>0</v>
      </c>
      <c r="I95" s="245"/>
    </row>
    <row r="96" spans="1:9" x14ac:dyDescent="0.25">
      <c r="A96" s="183"/>
      <c r="B96" s="156">
        <v>3894378</v>
      </c>
      <c r="C96" s="156">
        <v>4148150</v>
      </c>
      <c r="D96" s="156">
        <v>4838786</v>
      </c>
      <c r="E96" s="156">
        <v>5392423</v>
      </c>
      <c r="F96" s="156">
        <v>5257730</v>
      </c>
      <c r="G96" s="156">
        <v>4818537</v>
      </c>
      <c r="H96" s="156">
        <v>7439326</v>
      </c>
      <c r="I96" s="245"/>
    </row>
    <row r="97" spans="1:9" x14ac:dyDescent="0.25">
      <c r="A97" s="183"/>
      <c r="B97" s="156"/>
      <c r="C97" s="156"/>
      <c r="D97" s="156"/>
      <c r="E97" s="156"/>
      <c r="F97" s="156"/>
      <c r="G97" s="156"/>
      <c r="H97" s="156"/>
      <c r="I97" s="245"/>
    </row>
    <row r="98" spans="1:9" x14ac:dyDescent="0.25">
      <c r="A98" s="196" t="s">
        <v>276</v>
      </c>
      <c r="B98" s="279">
        <v>7921827</v>
      </c>
      <c r="C98" s="279">
        <v>8324527</v>
      </c>
      <c r="D98" s="279">
        <v>12377491</v>
      </c>
      <c r="E98" s="279">
        <v>14473657</v>
      </c>
      <c r="F98" s="279">
        <v>14562071</v>
      </c>
      <c r="G98" s="279">
        <v>16562629</v>
      </c>
      <c r="H98" s="279">
        <v>16023276</v>
      </c>
      <c r="I98" s="245"/>
    </row>
    <row r="99" spans="1:9" x14ac:dyDescent="0.25">
      <c r="A99" s="183"/>
      <c r="B99" s="156"/>
      <c r="C99" s="156"/>
      <c r="D99" s="156"/>
      <c r="E99" s="156"/>
      <c r="F99" s="156"/>
      <c r="G99" s="156"/>
      <c r="H99" s="156"/>
      <c r="I99" s="245"/>
    </row>
    <row r="100" spans="1:9" x14ac:dyDescent="0.25">
      <c r="A100" s="147" t="s">
        <v>277</v>
      </c>
      <c r="B100" s="278">
        <v>22155493</v>
      </c>
      <c r="C100" s="278">
        <v>23426963</v>
      </c>
      <c r="D100" s="278">
        <v>28526996</v>
      </c>
      <c r="E100" s="278">
        <v>31273677</v>
      </c>
      <c r="F100" s="278">
        <v>32355570</v>
      </c>
      <c r="G100" s="278">
        <v>34559193</v>
      </c>
      <c r="H100" s="278">
        <v>32071433</v>
      </c>
      <c r="I100" s="245"/>
    </row>
    <row r="101" spans="1:9" x14ac:dyDescent="0.25">
      <c r="B101" s="245"/>
      <c r="C101" s="245"/>
      <c r="D101" s="245"/>
      <c r="E101" s="245"/>
      <c r="F101" s="245"/>
    </row>
    <row r="102" spans="1:9" ht="15.75" x14ac:dyDescent="0.25">
      <c r="A102" s="269" t="s">
        <v>278</v>
      </c>
      <c r="B102" s="286"/>
      <c r="C102" s="286"/>
      <c r="D102" s="286"/>
      <c r="E102" s="286"/>
      <c r="F102" s="286"/>
      <c r="G102" s="286"/>
      <c r="H102" s="286"/>
    </row>
    <row r="103" spans="1:9" ht="38.25" x14ac:dyDescent="0.25">
      <c r="A103" s="61" t="s">
        <v>86</v>
      </c>
      <c r="B103" s="146" t="s">
        <v>493</v>
      </c>
      <c r="C103" s="146" t="s">
        <v>494</v>
      </c>
      <c r="D103" s="146" t="s">
        <v>495</v>
      </c>
      <c r="E103" s="146" t="s">
        <v>496</v>
      </c>
      <c r="F103" s="146" t="s">
        <v>497</v>
      </c>
      <c r="G103" s="146" t="s">
        <v>498</v>
      </c>
      <c r="H103" s="146" t="s">
        <v>499</v>
      </c>
    </row>
    <row r="104" spans="1:9" x14ac:dyDescent="0.25">
      <c r="A104" s="182" t="s">
        <v>279</v>
      </c>
      <c r="B104" s="279"/>
      <c r="C104" s="279"/>
      <c r="D104" s="279"/>
      <c r="E104" s="279"/>
      <c r="F104" s="279"/>
      <c r="G104" s="279"/>
      <c r="H104" s="279"/>
    </row>
    <row r="105" spans="1:9" x14ac:dyDescent="0.25">
      <c r="A105" s="288" t="s">
        <v>343</v>
      </c>
      <c r="B105" s="156">
        <v>1226069</v>
      </c>
      <c r="C105" s="156">
        <v>1257314</v>
      </c>
      <c r="D105" s="156">
        <v>1599951</v>
      </c>
      <c r="E105" s="156">
        <v>1947577</v>
      </c>
      <c r="F105" s="156">
        <v>1683621</v>
      </c>
      <c r="G105" s="156">
        <v>1498215</v>
      </c>
      <c r="H105" s="156">
        <v>-2187771</v>
      </c>
      <c r="I105" s="245"/>
    </row>
    <row r="106" spans="1:9" x14ac:dyDescent="0.25">
      <c r="A106" s="183" t="s">
        <v>435</v>
      </c>
      <c r="B106" s="156"/>
      <c r="C106" s="156"/>
      <c r="D106" s="156"/>
      <c r="E106" s="156"/>
      <c r="F106" s="156"/>
      <c r="G106" s="156"/>
      <c r="H106" s="156"/>
      <c r="I106" s="245"/>
    </row>
    <row r="107" spans="1:9" x14ac:dyDescent="0.25">
      <c r="A107" s="288" t="s">
        <v>436</v>
      </c>
      <c r="B107" s="337">
        <v>0</v>
      </c>
      <c r="C107" s="156">
        <v>236</v>
      </c>
      <c r="D107" s="156">
        <v>1046</v>
      </c>
      <c r="E107" s="156">
        <v>1734</v>
      </c>
      <c r="F107" s="156">
        <v>2709</v>
      </c>
      <c r="G107" s="156">
        <v>936</v>
      </c>
      <c r="H107" s="156">
        <v>-7933</v>
      </c>
      <c r="I107" s="245"/>
    </row>
    <row r="108" spans="1:9" x14ac:dyDescent="0.25">
      <c r="A108" s="215" t="s">
        <v>281</v>
      </c>
      <c r="B108" s="156">
        <v>1321028</v>
      </c>
      <c r="C108" s="156">
        <v>1358778</v>
      </c>
      <c r="D108" s="156">
        <v>1411097</v>
      </c>
      <c r="E108" s="156">
        <v>1686204</v>
      </c>
      <c r="F108" s="156">
        <v>1727069</v>
      </c>
      <c r="G108" s="156">
        <v>1796917</v>
      </c>
      <c r="H108" s="156">
        <v>1832780</v>
      </c>
      <c r="I108" s="245"/>
    </row>
    <row r="109" spans="1:9" x14ac:dyDescent="0.25">
      <c r="A109" s="215" t="s">
        <v>437</v>
      </c>
      <c r="B109" s="156">
        <v>2963</v>
      </c>
      <c r="C109" s="156">
        <v>43</v>
      </c>
      <c r="D109" s="156">
        <v>2819</v>
      </c>
      <c r="E109" s="156">
        <v>-391</v>
      </c>
      <c r="F109" s="156">
        <v>847</v>
      </c>
      <c r="G109" s="156">
        <v>7257</v>
      </c>
      <c r="H109" s="156">
        <v>-715</v>
      </c>
      <c r="I109" s="245"/>
    </row>
    <row r="110" spans="1:9" x14ac:dyDescent="0.25">
      <c r="A110" s="215" t="s">
        <v>438</v>
      </c>
      <c r="B110" s="156">
        <v>94116</v>
      </c>
      <c r="C110" s="156">
        <v>132331</v>
      </c>
      <c r="D110" s="156">
        <v>58294</v>
      </c>
      <c r="E110" s="156">
        <v>225526</v>
      </c>
      <c r="F110" s="156">
        <v>220283</v>
      </c>
      <c r="G110" s="156">
        <v>286733</v>
      </c>
      <c r="H110" s="156">
        <v>273502</v>
      </c>
      <c r="I110" s="245"/>
    </row>
    <row r="111" spans="1:9" x14ac:dyDescent="0.25">
      <c r="A111" s="215" t="s">
        <v>439</v>
      </c>
      <c r="B111" s="156">
        <v>-54215</v>
      </c>
      <c r="C111" s="156">
        <v>13153</v>
      </c>
      <c r="D111" s="156">
        <v>-16568</v>
      </c>
      <c r="E111" s="156">
        <v>35315</v>
      </c>
      <c r="F111" s="156">
        <v>317714</v>
      </c>
      <c r="G111" s="156">
        <v>44543</v>
      </c>
      <c r="H111" s="156">
        <v>3608822</v>
      </c>
      <c r="I111" s="245"/>
    </row>
    <row r="112" spans="1:9" x14ac:dyDescent="0.25">
      <c r="A112" s="215" t="s">
        <v>440</v>
      </c>
      <c r="B112" s="156">
        <v>-603601</v>
      </c>
      <c r="C112" s="156">
        <v>-395393</v>
      </c>
      <c r="D112" s="156">
        <v>-147945</v>
      </c>
      <c r="E112" s="156">
        <v>-291704</v>
      </c>
      <c r="F112" s="156">
        <v>924417</v>
      </c>
      <c r="G112" s="156">
        <v>111716</v>
      </c>
      <c r="H112" s="156">
        <v>118806</v>
      </c>
      <c r="I112" s="245"/>
    </row>
    <row r="113" spans="1:9" x14ac:dyDescent="0.25">
      <c r="A113" s="215" t="s">
        <v>441</v>
      </c>
      <c r="B113" s="156">
        <v>-193124</v>
      </c>
      <c r="C113" s="156">
        <v>117372</v>
      </c>
      <c r="D113" s="156">
        <v>-184588</v>
      </c>
      <c r="E113" s="156">
        <v>-136092</v>
      </c>
      <c r="F113" s="156">
        <v>186768</v>
      </c>
      <c r="G113" s="156">
        <v>-43868</v>
      </c>
      <c r="H113" s="156">
        <v>90497</v>
      </c>
      <c r="I113" s="245"/>
    </row>
    <row r="114" spans="1:9" x14ac:dyDescent="0.25">
      <c r="A114" s="215" t="s">
        <v>442</v>
      </c>
      <c r="B114" s="156">
        <v>334007</v>
      </c>
      <c r="C114" s="156">
        <v>215558</v>
      </c>
      <c r="D114" s="156">
        <v>-76220</v>
      </c>
      <c r="E114" s="156">
        <v>70212</v>
      </c>
      <c r="F114" s="156">
        <v>-328877</v>
      </c>
      <c r="G114" s="156">
        <v>-234014</v>
      </c>
      <c r="H114" s="156">
        <v>-180636</v>
      </c>
      <c r="I114" s="245"/>
    </row>
    <row r="115" spans="1:9" x14ac:dyDescent="0.25">
      <c r="A115" s="215" t="s">
        <v>443</v>
      </c>
      <c r="B115" s="156">
        <v>-296073</v>
      </c>
      <c r="C115" s="156">
        <v>-111089</v>
      </c>
      <c r="D115" s="156">
        <v>-76604</v>
      </c>
      <c r="E115" s="156">
        <v>74912</v>
      </c>
      <c r="F115" s="156">
        <v>-492481</v>
      </c>
      <c r="G115" s="156">
        <v>-178409</v>
      </c>
      <c r="H115" s="156">
        <v>-104176</v>
      </c>
      <c r="I115" s="245"/>
    </row>
    <row r="116" spans="1:9" x14ac:dyDescent="0.25">
      <c r="A116" s="215" t="s">
        <v>490</v>
      </c>
      <c r="B116" s="156">
        <v>8864</v>
      </c>
      <c r="C116" s="156">
        <v>-31098</v>
      </c>
      <c r="D116" s="156">
        <v>-39152</v>
      </c>
      <c r="E116" s="156">
        <v>-65253</v>
      </c>
      <c r="F116" s="156">
        <v>-115596</v>
      </c>
      <c r="G116" s="156">
        <v>-67333</v>
      </c>
      <c r="H116" s="156">
        <v>-73962</v>
      </c>
      <c r="I116" s="245"/>
    </row>
    <row r="117" spans="1:9" x14ac:dyDescent="0.25">
      <c r="A117" s="215" t="s">
        <v>445</v>
      </c>
      <c r="B117" s="156">
        <v>233714</v>
      </c>
      <c r="C117" s="156">
        <v>201130</v>
      </c>
      <c r="D117" s="156">
        <v>-210035</v>
      </c>
      <c r="E117" s="156">
        <v>260546</v>
      </c>
      <c r="F117" s="156">
        <v>423730</v>
      </c>
      <c r="G117" s="156">
        <v>-295463</v>
      </c>
      <c r="H117" s="156">
        <v>141843</v>
      </c>
      <c r="I117" s="245"/>
    </row>
    <row r="118" spans="1:9" x14ac:dyDescent="0.25">
      <c r="A118" s="215" t="s">
        <v>286</v>
      </c>
      <c r="B118" s="156">
        <v>-111648</v>
      </c>
      <c r="C118" s="156">
        <v>-238400</v>
      </c>
      <c r="D118" s="156">
        <v>-111929</v>
      </c>
      <c r="E118" s="156">
        <v>-328845</v>
      </c>
      <c r="F118" s="156">
        <v>-466637</v>
      </c>
      <c r="G118" s="156">
        <v>-308393</v>
      </c>
      <c r="H118" s="156">
        <v>-111716</v>
      </c>
      <c r="I118" s="245"/>
    </row>
    <row r="119" spans="1:9" x14ac:dyDescent="0.25">
      <c r="A119" s="215" t="s">
        <v>507</v>
      </c>
      <c r="B119" s="156">
        <v>911</v>
      </c>
      <c r="C119" s="156">
        <v>0</v>
      </c>
      <c r="D119" s="338">
        <v>0</v>
      </c>
      <c r="E119" s="338">
        <v>0</v>
      </c>
      <c r="F119" s="338">
        <v>0</v>
      </c>
      <c r="G119" s="338">
        <v>0</v>
      </c>
      <c r="H119" s="338">
        <v>0</v>
      </c>
      <c r="I119" s="245"/>
    </row>
    <row r="120" spans="1:9" x14ac:dyDescent="0.25">
      <c r="A120" s="215" t="s">
        <v>134</v>
      </c>
      <c r="B120" s="156">
        <v>188</v>
      </c>
      <c r="C120" s="156">
        <v>410</v>
      </c>
      <c r="D120" s="156">
        <v>-1240</v>
      </c>
      <c r="E120" s="156">
        <v>-690</v>
      </c>
      <c r="F120" s="156">
        <v>-4485</v>
      </c>
      <c r="G120" s="156">
        <v>-930</v>
      </c>
      <c r="H120" s="156">
        <v>-11883</v>
      </c>
      <c r="I120" s="245"/>
    </row>
    <row r="121" spans="1:9" x14ac:dyDescent="0.25">
      <c r="A121" s="147" t="s">
        <v>287</v>
      </c>
      <c r="B121" s="279">
        <v>1963199</v>
      </c>
      <c r="C121" s="279">
        <v>2520345</v>
      </c>
      <c r="D121" s="279">
        <v>2208926</v>
      </c>
      <c r="E121" s="279">
        <v>3479051</v>
      </c>
      <c r="F121" s="279">
        <v>4079082</v>
      </c>
      <c r="G121" s="279">
        <v>2617907</v>
      </c>
      <c r="H121" s="279">
        <v>3387458</v>
      </c>
      <c r="I121" s="245"/>
    </row>
    <row r="122" spans="1:9" x14ac:dyDescent="0.25">
      <c r="A122" s="183" t="s">
        <v>288</v>
      </c>
      <c r="B122" s="156"/>
      <c r="C122" s="156"/>
      <c r="D122" s="156"/>
      <c r="E122" s="156"/>
    </row>
    <row r="123" spans="1:9" x14ac:dyDescent="0.25">
      <c r="A123" s="215" t="s">
        <v>293</v>
      </c>
      <c r="B123" s="156">
        <v>15879</v>
      </c>
      <c r="C123" s="156">
        <v>11731</v>
      </c>
      <c r="D123" s="156">
        <v>39957</v>
      </c>
      <c r="E123" s="156">
        <v>50192</v>
      </c>
      <c r="F123" s="156">
        <v>29785</v>
      </c>
      <c r="G123" s="156">
        <v>47800</v>
      </c>
      <c r="H123" s="156">
        <v>36554</v>
      </c>
      <c r="I123" s="245"/>
    </row>
    <row r="124" spans="1:9" x14ac:dyDescent="0.25">
      <c r="A124" s="215" t="s">
        <v>289</v>
      </c>
      <c r="B124" s="156">
        <v>-1440255</v>
      </c>
      <c r="C124" s="156">
        <v>-1518088</v>
      </c>
      <c r="D124" s="156">
        <v>-2302270</v>
      </c>
      <c r="E124" s="156">
        <v>-3302471</v>
      </c>
      <c r="F124" s="156">
        <v>-3933673</v>
      </c>
      <c r="G124" s="156">
        <v>-3464578</v>
      </c>
      <c r="H124" s="156">
        <v>-3973510</v>
      </c>
      <c r="I124" s="245"/>
    </row>
    <row r="125" spans="1:9" x14ac:dyDescent="0.25">
      <c r="A125" s="215" t="s">
        <v>508</v>
      </c>
      <c r="B125" s="337">
        <v>0</v>
      </c>
      <c r="C125" s="337">
        <v>0</v>
      </c>
      <c r="D125" s="156">
        <v>1493</v>
      </c>
      <c r="E125" s="156">
        <v>102506</v>
      </c>
      <c r="F125" s="337">
        <v>0</v>
      </c>
      <c r="G125" s="337">
        <v>0</v>
      </c>
      <c r="H125" s="156">
        <v>21732</v>
      </c>
      <c r="I125" s="245"/>
    </row>
    <row r="126" spans="1:9" x14ac:dyDescent="0.25">
      <c r="A126" s="215" t="s">
        <v>447</v>
      </c>
      <c r="B126" s="156">
        <v>91287</v>
      </c>
      <c r="C126" s="156">
        <v>56189</v>
      </c>
      <c r="D126" s="156">
        <v>112811</v>
      </c>
      <c r="E126" s="156">
        <v>22011</v>
      </c>
      <c r="F126" s="156">
        <v>4237</v>
      </c>
      <c r="G126" s="156">
        <v>38264</v>
      </c>
      <c r="H126" s="156">
        <v>3077</v>
      </c>
      <c r="I126" s="245"/>
    </row>
    <row r="127" spans="1:9" x14ac:dyDescent="0.25">
      <c r="A127" s="289" t="s">
        <v>448</v>
      </c>
      <c r="B127" s="337">
        <v>0</v>
      </c>
      <c r="C127" s="337">
        <v>0</v>
      </c>
      <c r="D127" s="337">
        <v>0</v>
      </c>
      <c r="E127" s="337">
        <v>0</v>
      </c>
      <c r="F127" s="156">
        <v>-232500</v>
      </c>
      <c r="G127" s="337">
        <v>0</v>
      </c>
      <c r="H127" s="337">
        <v>0</v>
      </c>
      <c r="I127" s="245"/>
    </row>
    <row r="128" spans="1:9" x14ac:dyDescent="0.25">
      <c r="A128" s="215" t="s">
        <v>449</v>
      </c>
      <c r="B128" s="156">
        <v>-34777</v>
      </c>
      <c r="C128" s="156">
        <v>-69570</v>
      </c>
      <c r="D128" s="156">
        <v>-147989</v>
      </c>
      <c r="E128" s="156">
        <v>-10463</v>
      </c>
      <c r="F128" s="156">
        <v>-4920</v>
      </c>
      <c r="G128" s="156">
        <v>-6684</v>
      </c>
      <c r="H128" s="156">
        <v>-29067</v>
      </c>
      <c r="I128" s="245"/>
    </row>
    <row r="129" spans="1:9" x14ac:dyDescent="0.25">
      <c r="A129" s="215" t="s">
        <v>509</v>
      </c>
      <c r="B129" s="338">
        <v>0</v>
      </c>
      <c r="C129" s="156">
        <v>-1000</v>
      </c>
      <c r="D129" s="156">
        <v>-23000</v>
      </c>
      <c r="E129" s="156">
        <v>-32576</v>
      </c>
      <c r="F129" s="337">
        <v>0</v>
      </c>
      <c r="G129" s="337">
        <v>0</v>
      </c>
      <c r="H129" s="337">
        <v>0</v>
      </c>
      <c r="I129" s="245"/>
    </row>
    <row r="130" spans="1:9" x14ac:dyDescent="0.25">
      <c r="A130" s="215" t="s">
        <v>451</v>
      </c>
      <c r="B130" s="338">
        <v>0</v>
      </c>
      <c r="C130" s="156">
        <v>23</v>
      </c>
      <c r="D130" s="156">
        <v>-3379615</v>
      </c>
      <c r="E130" s="156">
        <v>-5613</v>
      </c>
      <c r="F130" s="337">
        <v>0</v>
      </c>
      <c r="G130" s="337">
        <v>0</v>
      </c>
      <c r="H130" s="337">
        <v>0</v>
      </c>
      <c r="I130" s="245"/>
    </row>
    <row r="131" spans="1:9" x14ac:dyDescent="0.25">
      <c r="A131" s="215" t="s">
        <v>452</v>
      </c>
      <c r="B131" s="156">
        <v>5256</v>
      </c>
      <c r="C131" s="156">
        <v>4349</v>
      </c>
      <c r="D131" s="156">
        <v>8173</v>
      </c>
      <c r="E131" s="156">
        <v>8349</v>
      </c>
      <c r="F131" s="156">
        <v>18323</v>
      </c>
      <c r="G131" s="156">
        <v>3931</v>
      </c>
      <c r="H131" s="156">
        <v>4684</v>
      </c>
      <c r="I131" s="245"/>
    </row>
    <row r="132" spans="1:9" x14ac:dyDescent="0.25">
      <c r="A132" s="215" t="s">
        <v>453</v>
      </c>
      <c r="B132" s="156">
        <v>1594</v>
      </c>
      <c r="C132" s="156">
        <v>1377</v>
      </c>
      <c r="D132" s="156">
        <v>666</v>
      </c>
      <c r="E132" s="156">
        <v>136</v>
      </c>
      <c r="F132" s="156">
        <v>40</v>
      </c>
      <c r="G132" s="156">
        <v>1068</v>
      </c>
      <c r="H132" s="156">
        <v>6008</v>
      </c>
      <c r="I132" s="245"/>
    </row>
    <row r="133" spans="1:9" x14ac:dyDescent="0.25">
      <c r="A133" s="215" t="s">
        <v>294</v>
      </c>
      <c r="B133" s="156">
        <v>4000</v>
      </c>
      <c r="C133" s="156">
        <v>1475</v>
      </c>
      <c r="D133" s="156">
        <v>240</v>
      </c>
      <c r="E133" s="156">
        <v>24500</v>
      </c>
      <c r="F133" s="156">
        <v>46800</v>
      </c>
      <c r="G133" s="156">
        <v>11700</v>
      </c>
      <c r="H133" s="156">
        <v>14500</v>
      </c>
      <c r="I133" s="245"/>
    </row>
    <row r="134" spans="1:9" x14ac:dyDescent="0.25">
      <c r="A134" s="215" t="s">
        <v>291</v>
      </c>
      <c r="B134" s="156">
        <v>-1295</v>
      </c>
      <c r="C134" s="156">
        <v>-1400</v>
      </c>
      <c r="D134" s="337">
        <v>0</v>
      </c>
      <c r="E134" s="156">
        <v>-139500</v>
      </c>
      <c r="F134" s="156">
        <v>-108800</v>
      </c>
      <c r="G134" s="156">
        <v>-18050</v>
      </c>
      <c r="H134" s="156">
        <v>-26100</v>
      </c>
      <c r="I134" s="245"/>
    </row>
    <row r="135" spans="1:9" x14ac:dyDescent="0.25">
      <c r="A135" s="215" t="s">
        <v>134</v>
      </c>
      <c r="B135" s="156">
        <v>4287</v>
      </c>
      <c r="C135" s="156">
        <v>6438</v>
      </c>
      <c r="D135" s="337">
        <v>0</v>
      </c>
      <c r="E135" s="149">
        <v>0</v>
      </c>
      <c r="F135" s="156">
        <v>220</v>
      </c>
      <c r="G135" s="156">
        <v>-184</v>
      </c>
      <c r="H135" s="337">
        <v>0</v>
      </c>
      <c r="I135" s="245"/>
    </row>
    <row r="136" spans="1:9" x14ac:dyDescent="0.25">
      <c r="A136" s="147" t="s">
        <v>297</v>
      </c>
      <c r="B136" s="279">
        <v>-1354024</v>
      </c>
      <c r="C136" s="279">
        <v>-1508476</v>
      </c>
      <c r="D136" s="279">
        <v>-5689534</v>
      </c>
      <c r="E136" s="279">
        <v>-3282929</v>
      </c>
      <c r="F136" s="279">
        <v>-4180488</v>
      </c>
      <c r="G136" s="279">
        <v>-3386733</v>
      </c>
      <c r="H136" s="279">
        <v>-3942122</v>
      </c>
      <c r="I136" s="245"/>
    </row>
    <row r="137" spans="1:9" x14ac:dyDescent="0.25">
      <c r="A137" s="183" t="s">
        <v>298</v>
      </c>
      <c r="B137" s="156"/>
      <c r="C137" s="156"/>
      <c r="D137" s="156"/>
      <c r="E137" s="156"/>
    </row>
    <row r="138" spans="1:9" x14ac:dyDescent="0.25">
      <c r="A138" s="215" t="s">
        <v>454</v>
      </c>
      <c r="B138" s="156">
        <v>-37272</v>
      </c>
      <c r="C138" s="156">
        <v>-35842</v>
      </c>
      <c r="D138" s="156">
        <v>-25603</v>
      </c>
      <c r="E138" s="156">
        <v>-14834</v>
      </c>
      <c r="F138" s="156">
        <v>-14911</v>
      </c>
      <c r="G138" s="156">
        <v>-20622</v>
      </c>
      <c r="H138" s="156">
        <v>-14426</v>
      </c>
      <c r="I138" s="245"/>
    </row>
    <row r="139" spans="1:9" x14ac:dyDescent="0.25">
      <c r="A139" s="215" t="s">
        <v>455</v>
      </c>
      <c r="B139" s="156">
        <v>208398</v>
      </c>
      <c r="C139" s="156">
        <v>167115</v>
      </c>
      <c r="D139" s="156">
        <v>87254</v>
      </c>
      <c r="E139" s="156">
        <v>1005000</v>
      </c>
      <c r="F139" s="156">
        <v>452325</v>
      </c>
      <c r="G139" s="337">
        <v>0</v>
      </c>
      <c r="H139" s="156">
        <v>295000</v>
      </c>
      <c r="I139" s="245"/>
    </row>
    <row r="140" spans="1:9" x14ac:dyDescent="0.25">
      <c r="A140" s="215" t="s">
        <v>300</v>
      </c>
      <c r="B140" s="156">
        <v>-415385</v>
      </c>
      <c r="C140" s="156">
        <v>-744020</v>
      </c>
      <c r="D140" s="156">
        <v>-467183</v>
      </c>
      <c r="E140" s="156">
        <v>-257210</v>
      </c>
      <c r="F140" s="156">
        <v>-141226</v>
      </c>
      <c r="G140" s="156">
        <v>-169971</v>
      </c>
      <c r="H140" s="156">
        <v>-140585</v>
      </c>
      <c r="I140" s="245"/>
    </row>
    <row r="141" spans="1:9" x14ac:dyDescent="0.25">
      <c r="A141" s="215" t="s">
        <v>304</v>
      </c>
      <c r="B141" s="156">
        <v>44000</v>
      </c>
      <c r="C141" s="156">
        <v>848200</v>
      </c>
      <c r="D141" s="156">
        <v>3300000</v>
      </c>
      <c r="E141" s="156">
        <v>150000</v>
      </c>
      <c r="F141" s="337">
        <v>0</v>
      </c>
      <c r="G141" s="156">
        <v>3653234</v>
      </c>
      <c r="H141" s="156">
        <v>310000</v>
      </c>
      <c r="I141" s="245"/>
    </row>
    <row r="142" spans="1:9" x14ac:dyDescent="0.25">
      <c r="A142" s="215" t="s">
        <v>299</v>
      </c>
      <c r="B142" s="156">
        <v>-166308</v>
      </c>
      <c r="C142" s="156">
        <v>-608692</v>
      </c>
      <c r="D142" s="337">
        <v>0</v>
      </c>
      <c r="E142" s="337">
        <v>0</v>
      </c>
      <c r="F142" s="337">
        <v>0</v>
      </c>
      <c r="G142" s="156">
        <v>-1148200</v>
      </c>
      <c r="H142" s="156">
        <v>-450000</v>
      </c>
      <c r="I142" s="245"/>
    </row>
    <row r="143" spans="1:9" x14ac:dyDescent="0.25">
      <c r="A143" s="215" t="s">
        <v>456</v>
      </c>
      <c r="B143" s="156">
        <v>-51167</v>
      </c>
      <c r="C143" s="338">
        <v>0</v>
      </c>
      <c r="D143" s="156">
        <v>-262882</v>
      </c>
      <c r="E143" s="156">
        <v>-543290</v>
      </c>
      <c r="F143" s="156">
        <v>-350510</v>
      </c>
      <c r="G143" s="156">
        <v>-332984</v>
      </c>
      <c r="H143" s="156">
        <v>-262882</v>
      </c>
      <c r="I143" s="245"/>
    </row>
    <row r="144" spans="1:9" x14ac:dyDescent="0.25">
      <c r="A144" s="215" t="s">
        <v>457</v>
      </c>
      <c r="B144" s="156">
        <v>-7074</v>
      </c>
      <c r="C144" s="156">
        <v>-5573</v>
      </c>
      <c r="D144" s="156">
        <v>-13676</v>
      </c>
      <c r="E144" s="156">
        <v>-16434</v>
      </c>
      <c r="F144" s="156">
        <v>-8047</v>
      </c>
      <c r="G144" s="156">
        <v>-1233</v>
      </c>
      <c r="H144" s="156">
        <v>-2630</v>
      </c>
      <c r="I144" s="245"/>
    </row>
    <row r="145" spans="1:9" x14ac:dyDescent="0.25">
      <c r="A145" s="215" t="s">
        <v>510</v>
      </c>
      <c r="B145" s="156">
        <v>-8376</v>
      </c>
      <c r="C145" s="337">
        <v>0</v>
      </c>
      <c r="D145" s="337">
        <v>0</v>
      </c>
      <c r="E145" s="337">
        <v>0</v>
      </c>
      <c r="F145" s="337">
        <v>0</v>
      </c>
      <c r="G145" s="337">
        <v>0</v>
      </c>
      <c r="H145" s="337">
        <v>0</v>
      </c>
      <c r="I145" s="245"/>
    </row>
    <row r="146" spans="1:9" x14ac:dyDescent="0.25">
      <c r="A146" s="215" t="s">
        <v>301</v>
      </c>
      <c r="B146" s="156">
        <v>-109333</v>
      </c>
      <c r="C146" s="156">
        <v>-115820</v>
      </c>
      <c r="D146" s="156">
        <v>-52292</v>
      </c>
      <c r="E146" s="156">
        <v>-222089</v>
      </c>
      <c r="F146" s="156">
        <v>-229431</v>
      </c>
      <c r="G146" s="156">
        <v>-273392</v>
      </c>
      <c r="H146" s="156">
        <v>-276305</v>
      </c>
      <c r="I146" s="245"/>
    </row>
    <row r="147" spans="1:9" x14ac:dyDescent="0.25">
      <c r="A147" s="215" t="s">
        <v>458</v>
      </c>
      <c r="B147" s="337">
        <v>0</v>
      </c>
      <c r="C147" s="156">
        <v>-9863</v>
      </c>
      <c r="D147" s="156">
        <v>-37800</v>
      </c>
      <c r="E147" s="156">
        <v>-6535</v>
      </c>
      <c r="F147" s="156">
        <v>-37021</v>
      </c>
      <c r="G147" s="156">
        <v>-125402</v>
      </c>
      <c r="H147" s="156">
        <v>-588</v>
      </c>
      <c r="I147" s="245"/>
    </row>
    <row r="148" spans="1:9" x14ac:dyDescent="0.25">
      <c r="A148" s="215" t="s">
        <v>134</v>
      </c>
      <c r="B148" s="156">
        <v>-947</v>
      </c>
      <c r="C148" s="156">
        <v>-8369</v>
      </c>
      <c r="D148" s="156">
        <f>-17779+4725</f>
        <v>-13054</v>
      </c>
      <c r="E148" s="156">
        <f>-10975+106083</f>
        <v>95108</v>
      </c>
      <c r="F148" s="156">
        <f>-9303+89024</f>
        <v>79721</v>
      </c>
      <c r="G148" s="156">
        <f>63139-8820</f>
        <v>54319</v>
      </c>
      <c r="H148" s="156">
        <v>16724</v>
      </c>
      <c r="I148" s="245"/>
    </row>
    <row r="149" spans="1:9" x14ac:dyDescent="0.25">
      <c r="A149" s="147" t="s">
        <v>306</v>
      </c>
      <c r="B149" s="279">
        <v>-543464</v>
      </c>
      <c r="C149" s="279">
        <v>-512864</v>
      </c>
      <c r="D149" s="279">
        <v>2514764</v>
      </c>
      <c r="E149" s="279">
        <v>189716</v>
      </c>
      <c r="F149" s="279">
        <v>-249100</v>
      </c>
      <c r="G149" s="279">
        <v>1635749</v>
      </c>
      <c r="H149" s="339">
        <v>-525692</v>
      </c>
      <c r="I149" s="245"/>
    </row>
    <row r="150" spans="1:9" x14ac:dyDescent="0.25">
      <c r="A150" s="183" t="s">
        <v>307</v>
      </c>
      <c r="B150" s="156">
        <v>65711</v>
      </c>
      <c r="C150" s="156">
        <v>499005</v>
      </c>
      <c r="D150" s="156">
        <v>-965844</v>
      </c>
      <c r="E150" s="156">
        <v>385838</v>
      </c>
      <c r="F150" s="156">
        <v>-350506</v>
      </c>
      <c r="G150" s="156">
        <v>866923</v>
      </c>
      <c r="H150" s="188">
        <v>-1080356</v>
      </c>
      <c r="I150" s="156"/>
    </row>
    <row r="151" spans="1:9" x14ac:dyDescent="0.25">
      <c r="A151" s="215" t="s">
        <v>308</v>
      </c>
      <c r="B151" s="156">
        <v>220</v>
      </c>
      <c r="C151" s="156">
        <v>-134</v>
      </c>
      <c r="D151" s="156">
        <v>-3</v>
      </c>
      <c r="E151" s="156">
        <v>-1375</v>
      </c>
      <c r="F151" s="156">
        <v>-1858</v>
      </c>
      <c r="G151" s="156">
        <v>-177</v>
      </c>
      <c r="H151" s="188">
        <v>1169</v>
      </c>
      <c r="I151" s="156"/>
    </row>
    <row r="152" spans="1:9" x14ac:dyDescent="0.25">
      <c r="A152" s="149" t="s">
        <v>309</v>
      </c>
      <c r="B152" s="156">
        <v>906944</v>
      </c>
      <c r="C152" s="156">
        <v>972655</v>
      </c>
      <c r="D152" s="156">
        <v>1471660</v>
      </c>
      <c r="E152" s="156">
        <v>505816</v>
      </c>
      <c r="F152" s="156">
        <v>891654</v>
      </c>
      <c r="G152" s="156">
        <v>541148</v>
      </c>
      <c r="H152" s="188">
        <v>1408071</v>
      </c>
      <c r="I152" s="245"/>
    </row>
    <row r="153" spans="1:9" x14ac:dyDescent="0.25">
      <c r="A153" s="149" t="s">
        <v>459</v>
      </c>
      <c r="B153" s="156">
        <v>972655</v>
      </c>
      <c r="C153" s="156">
        <v>1471660</v>
      </c>
      <c r="D153" s="156">
        <v>505816</v>
      </c>
      <c r="E153" s="156">
        <v>891654</v>
      </c>
      <c r="F153" s="156">
        <v>541148</v>
      </c>
      <c r="G153" s="156">
        <v>1408071</v>
      </c>
      <c r="H153" s="188">
        <v>327715</v>
      </c>
      <c r="I153" s="245"/>
    </row>
    <row r="154" spans="1:9" x14ac:dyDescent="0.25">
      <c r="A154" s="263" t="s">
        <v>310</v>
      </c>
      <c r="B154" s="254">
        <v>18635</v>
      </c>
      <c r="C154" s="254">
        <v>165862</v>
      </c>
      <c r="D154" s="254">
        <v>176241</v>
      </c>
      <c r="E154" s="254">
        <v>290063</v>
      </c>
      <c r="F154" s="254">
        <v>121129</v>
      </c>
      <c r="G154" s="254">
        <v>116568</v>
      </c>
      <c r="H154" s="254">
        <v>206254</v>
      </c>
      <c r="I154" s="245"/>
    </row>
    <row r="156" spans="1:9" x14ac:dyDescent="0.25">
      <c r="A156" s="291" t="s">
        <v>349</v>
      </c>
      <c r="B156" s="144" t="s">
        <v>461</v>
      </c>
    </row>
    <row r="157" spans="1:9" x14ac:dyDescent="0.25">
      <c r="A157" s="291" t="s">
        <v>408</v>
      </c>
      <c r="B157" s="144" t="s">
        <v>463</v>
      </c>
      <c r="C157" s="340"/>
      <c r="D157" s="341"/>
      <c r="E157" s="341"/>
      <c r="F157" s="341"/>
      <c r="G157" s="341"/>
      <c r="H157" s="341"/>
      <c r="I157" s="341"/>
    </row>
    <row r="158" spans="1:9" x14ac:dyDescent="0.25">
      <c r="A158" s="291" t="s">
        <v>464</v>
      </c>
      <c r="B158" s="144" t="s">
        <v>466</v>
      </c>
      <c r="D158" s="341"/>
      <c r="E158" s="341"/>
      <c r="F158" s="341"/>
      <c r="G158" s="341"/>
      <c r="H158" s="341"/>
      <c r="I158" s="341"/>
    </row>
    <row r="159" spans="1:9" x14ac:dyDescent="0.25">
      <c r="A159" s="291" t="s">
        <v>467</v>
      </c>
      <c r="B159" s="144" t="s">
        <v>468</v>
      </c>
      <c r="D159" s="341"/>
      <c r="E159" s="341"/>
      <c r="F159" s="341"/>
      <c r="G159" s="341"/>
      <c r="H159" s="341"/>
      <c r="I159" s="341"/>
    </row>
  </sheetData>
  <customSheetViews>
    <customSheetView guid="{77EFF5B1-32BE-4080-9902-B97F43099026}">
      <pane xSplit="1" ySplit="4" topLeftCell="F14" activePane="bottomRight" state="frozen"/>
      <selection pane="bottomRight" activeCell="N6" sqref="N6"/>
      <pageMargins left="0.7" right="0.7" top="0.75" bottom="0.75" header="0.3" footer="0.3"/>
    </customSheetView>
    <customSheetView guid="{AAA495E0-27FD-4941-85B8-9038B6AD4FA3}">
      <pane xSplit="1" ySplit="4" topLeftCell="F14" activePane="bottomRight" state="frozen"/>
      <selection pane="bottomRight" activeCell="N6" sqref="N6"/>
      <pageMargins left="0.7" right="0.7" top="0.75" bottom="0.75" header="0.3" footer="0.3"/>
    </customSheetView>
    <customSheetView guid="{874BA5F8-BD95-4DDF-8F31-98DB154CA965}">
      <pane xSplit="1" ySplit="4" topLeftCell="F14" activePane="bottomRight" state="frozen"/>
      <selection pane="bottomRight" activeCell="N6" sqref="N6"/>
      <pageMargins left="0.7" right="0.7" top="0.75" bottom="0.75" header="0.3" footer="0.3"/>
    </customSheetView>
    <customSheetView guid="{627AEB6E-B9F1-415E-9A60-881757A50C67}">
      <pane xSplit="1" ySplit="4" topLeftCell="F14" activePane="bottomRight" state="frozen"/>
      <selection pane="bottomRight" activeCell="N6" sqref="N6"/>
      <pageMargins left="0.7" right="0.7" top="0.75" bottom="0.75" header="0.3" footer="0.3"/>
    </customSheetView>
  </customSheetViews>
  <mergeCells count="4">
    <mergeCell ref="B42:B43"/>
    <mergeCell ref="C42:C43"/>
    <mergeCell ref="B80:B81"/>
    <mergeCell ref="B90:B9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E44"/>
  <sheetViews>
    <sheetView workbookViewId="0"/>
  </sheetViews>
  <sheetFormatPr defaultRowHeight="15" x14ac:dyDescent="0.25"/>
  <cols>
    <col min="1" max="1" width="36.140625" style="12" customWidth="1"/>
    <col min="2" max="2" width="17.5703125" style="12" bestFit="1" customWidth="1"/>
    <col min="3" max="3" width="22.85546875" style="12" customWidth="1"/>
    <col min="4" max="4" width="15.7109375" style="12" customWidth="1"/>
    <col min="5" max="16384" width="9.140625" style="12"/>
  </cols>
  <sheetData>
    <row r="1" spans="1:5" ht="45" customHeight="1" x14ac:dyDescent="0.25">
      <c r="A1" s="44" t="s">
        <v>41</v>
      </c>
      <c r="B1" s="45"/>
      <c r="C1" s="46"/>
      <c r="D1" s="97"/>
      <c r="E1" s="7"/>
    </row>
    <row r="2" spans="1:5" ht="30" x14ac:dyDescent="0.25">
      <c r="A2" s="47" t="s">
        <v>42</v>
      </c>
      <c r="B2" s="48" t="s">
        <v>43</v>
      </c>
      <c r="C2" s="47" t="s">
        <v>44</v>
      </c>
      <c r="D2" s="47" t="s">
        <v>45</v>
      </c>
    </row>
    <row r="3" spans="1:5" x14ac:dyDescent="0.25">
      <c r="A3" s="49" t="s">
        <v>46</v>
      </c>
      <c r="B3" s="49" t="s">
        <v>47</v>
      </c>
      <c r="C3" s="50">
        <f>C4+C5+C6</f>
        <v>1535</v>
      </c>
      <c r="D3" s="51">
        <f>321+50.6</f>
        <v>371.6</v>
      </c>
    </row>
    <row r="4" spans="1:5" x14ac:dyDescent="0.25">
      <c r="A4" s="52" t="s">
        <v>48</v>
      </c>
      <c r="B4" s="8"/>
      <c r="C4" s="53">
        <v>140</v>
      </c>
      <c r="D4" s="54"/>
    </row>
    <row r="5" spans="1:5" x14ac:dyDescent="0.25">
      <c r="A5" s="52" t="s">
        <v>49</v>
      </c>
      <c r="B5" s="8"/>
      <c r="C5" s="55">
        <v>1345</v>
      </c>
      <c r="D5" s="54"/>
    </row>
    <row r="6" spans="1:5" x14ac:dyDescent="0.25">
      <c r="A6" s="56" t="s">
        <v>50</v>
      </c>
      <c r="B6" s="57"/>
      <c r="C6" s="55">
        <v>50</v>
      </c>
      <c r="D6" s="54"/>
    </row>
    <row r="7" spans="1:5" x14ac:dyDescent="0.25">
      <c r="A7" s="49" t="s">
        <v>51</v>
      </c>
      <c r="B7" s="49" t="s">
        <v>47</v>
      </c>
      <c r="C7" s="50">
        <f>C8+C9</f>
        <v>1155</v>
      </c>
      <c r="D7" s="51">
        <v>196</v>
      </c>
    </row>
    <row r="8" spans="1:5" x14ac:dyDescent="0.25">
      <c r="A8" s="52" t="s">
        <v>52</v>
      </c>
      <c r="B8" s="8"/>
      <c r="C8" s="58">
        <v>250</v>
      </c>
      <c r="D8" s="59"/>
    </row>
    <row r="9" spans="1:5" x14ac:dyDescent="0.25">
      <c r="A9" s="60" t="s">
        <v>53</v>
      </c>
      <c r="B9" s="25"/>
      <c r="C9" s="25">
        <v>905</v>
      </c>
      <c r="D9" s="61"/>
    </row>
    <row r="10" spans="1:5" x14ac:dyDescent="0.25">
      <c r="A10" s="49" t="s">
        <v>54</v>
      </c>
      <c r="B10" s="49" t="s">
        <v>47</v>
      </c>
      <c r="C10" s="62">
        <f>C11+C12</f>
        <v>820</v>
      </c>
      <c r="D10" s="63">
        <v>279</v>
      </c>
    </row>
    <row r="11" spans="1:5" x14ac:dyDescent="0.25">
      <c r="A11" s="52" t="s">
        <v>55</v>
      </c>
      <c r="B11" s="8"/>
      <c r="C11" s="53">
        <v>360</v>
      </c>
      <c r="D11" s="54"/>
    </row>
    <row r="12" spans="1:5" x14ac:dyDescent="0.25">
      <c r="A12" s="52" t="s">
        <v>56</v>
      </c>
      <c r="B12" s="8"/>
      <c r="C12" s="53">
        <v>460</v>
      </c>
      <c r="D12" s="54"/>
    </row>
    <row r="13" spans="1:5" x14ac:dyDescent="0.25">
      <c r="A13" s="64" t="s">
        <v>57</v>
      </c>
      <c r="B13" s="64" t="s">
        <v>47</v>
      </c>
      <c r="C13" s="50">
        <f>C14+C15</f>
        <v>666</v>
      </c>
      <c r="D13" s="51">
        <v>36.5</v>
      </c>
    </row>
    <row r="14" spans="1:5" x14ac:dyDescent="0.25">
      <c r="A14" s="65" t="s">
        <v>58</v>
      </c>
      <c r="B14" s="20"/>
      <c r="C14" s="58">
        <v>306</v>
      </c>
      <c r="D14" s="59"/>
    </row>
    <row r="15" spans="1:5" x14ac:dyDescent="0.25">
      <c r="A15" s="60" t="s">
        <v>59</v>
      </c>
      <c r="B15" s="25"/>
      <c r="C15" s="66">
        <v>360</v>
      </c>
      <c r="D15" s="61"/>
    </row>
    <row r="16" spans="1:5" x14ac:dyDescent="0.25">
      <c r="A16" s="67" t="s">
        <v>60</v>
      </c>
      <c r="B16" s="67" t="s">
        <v>47</v>
      </c>
      <c r="C16" s="68">
        <f>C17</f>
        <v>165</v>
      </c>
      <c r="D16" s="69">
        <v>85</v>
      </c>
      <c r="E16" s="12" t="s">
        <v>61</v>
      </c>
    </row>
    <row r="17" spans="1:5" x14ac:dyDescent="0.25">
      <c r="A17" s="70" t="s">
        <v>62</v>
      </c>
      <c r="B17" s="71"/>
      <c r="C17" s="71">
        <v>165</v>
      </c>
      <c r="D17" s="72"/>
    </row>
    <row r="18" spans="1:5" x14ac:dyDescent="0.25">
      <c r="A18" s="49" t="s">
        <v>63</v>
      </c>
      <c r="B18" s="49" t="s">
        <v>47</v>
      </c>
      <c r="C18" s="62">
        <f>C19+C20+C21</f>
        <v>330</v>
      </c>
      <c r="D18" s="63">
        <v>335</v>
      </c>
    </row>
    <row r="19" spans="1:5" ht="15.75" x14ac:dyDescent="0.25">
      <c r="A19" s="52" t="s">
        <v>64</v>
      </c>
      <c r="B19" s="8"/>
      <c r="C19" s="53">
        <v>240</v>
      </c>
      <c r="D19" s="73"/>
    </row>
    <row r="20" spans="1:5" x14ac:dyDescent="0.25">
      <c r="A20" s="65" t="s">
        <v>62</v>
      </c>
      <c r="B20" s="20"/>
      <c r="C20" s="53">
        <v>60</v>
      </c>
      <c r="D20" s="74"/>
    </row>
    <row r="21" spans="1:5" ht="15.75" x14ac:dyDescent="0.25">
      <c r="A21" s="75" t="s">
        <v>50</v>
      </c>
      <c r="B21" s="8"/>
      <c r="C21" s="53">
        <v>30</v>
      </c>
      <c r="D21" s="73"/>
    </row>
    <row r="22" spans="1:5" ht="15.75" x14ac:dyDescent="0.25">
      <c r="A22" s="76" t="s">
        <v>65</v>
      </c>
      <c r="B22" s="77"/>
      <c r="C22" s="78">
        <f>C3+C7+C10+C13+C18</f>
        <v>4506</v>
      </c>
      <c r="D22" s="78">
        <f>D3+D7+D10+D13+D18</f>
        <v>1218.0999999999999</v>
      </c>
    </row>
    <row r="23" spans="1:5" x14ac:dyDescent="0.25">
      <c r="A23" s="79"/>
      <c r="B23" s="79"/>
      <c r="C23" s="80"/>
      <c r="D23" s="81"/>
    </row>
    <row r="24" spans="1:5" x14ac:dyDescent="0.25">
      <c r="A24" s="82" t="s">
        <v>66</v>
      </c>
      <c r="B24" s="82" t="s">
        <v>67</v>
      </c>
      <c r="C24" s="83">
        <v>40</v>
      </c>
      <c r="D24" s="83">
        <v>250</v>
      </c>
    </row>
    <row r="25" spans="1:5" x14ac:dyDescent="0.25">
      <c r="A25" s="82" t="s">
        <v>528</v>
      </c>
      <c r="B25" s="82" t="s">
        <v>67</v>
      </c>
      <c r="C25" s="83">
        <v>66</v>
      </c>
      <c r="D25" s="83">
        <v>86</v>
      </c>
    </row>
    <row r="26" spans="1:5" x14ac:dyDescent="0.25">
      <c r="A26" s="84" t="s">
        <v>68</v>
      </c>
      <c r="B26" s="84" t="s">
        <v>67</v>
      </c>
      <c r="C26" s="85">
        <v>125</v>
      </c>
      <c r="D26" s="85">
        <v>466</v>
      </c>
      <c r="E26" s="12" t="s">
        <v>61</v>
      </c>
    </row>
    <row r="27" spans="1:5" x14ac:dyDescent="0.25">
      <c r="A27" s="86" t="s">
        <v>69</v>
      </c>
      <c r="B27" s="86" t="s">
        <v>67</v>
      </c>
      <c r="C27" s="83">
        <v>135.5</v>
      </c>
      <c r="D27" s="83">
        <v>294</v>
      </c>
    </row>
    <row r="28" spans="1:5" x14ac:dyDescent="0.25">
      <c r="A28" s="86" t="s">
        <v>70</v>
      </c>
      <c r="B28" s="86" t="s">
        <v>67</v>
      </c>
      <c r="C28" s="83">
        <f>C29+C30</f>
        <v>105.8</v>
      </c>
      <c r="D28" s="83">
        <f>D29+D30</f>
        <v>383.8</v>
      </c>
    </row>
    <row r="29" spans="1:5" x14ac:dyDescent="0.25">
      <c r="A29" s="52" t="s">
        <v>71</v>
      </c>
      <c r="B29" s="8"/>
      <c r="C29" s="87">
        <v>50.8</v>
      </c>
      <c r="D29" s="87">
        <v>182.4</v>
      </c>
    </row>
    <row r="30" spans="1:5" x14ac:dyDescent="0.25">
      <c r="A30" s="52" t="s">
        <v>72</v>
      </c>
      <c r="B30" s="8"/>
      <c r="C30" s="58">
        <v>55</v>
      </c>
      <c r="D30" s="88">
        <v>201.4</v>
      </c>
    </row>
    <row r="31" spans="1:5" x14ac:dyDescent="0.25">
      <c r="A31" s="64" t="s">
        <v>73</v>
      </c>
      <c r="B31" s="64"/>
      <c r="C31" s="89" t="s">
        <v>74</v>
      </c>
      <c r="D31" s="89">
        <f>138+21</f>
        <v>159</v>
      </c>
    </row>
    <row r="32" spans="1:5" ht="15.75" x14ac:dyDescent="0.25">
      <c r="A32" s="76" t="s">
        <v>75</v>
      </c>
      <c r="B32" s="77"/>
      <c r="C32" s="78">
        <f>SUM(C24:C28)-C26</f>
        <v>347.3</v>
      </c>
      <c r="D32" s="78">
        <f>SUM(D24:D28)-D26+D31</f>
        <v>1172.8</v>
      </c>
    </row>
    <row r="33" spans="1:4" x14ac:dyDescent="0.25">
      <c r="A33" s="90"/>
      <c r="B33" s="90"/>
      <c r="C33" s="62"/>
      <c r="D33" s="91"/>
    </row>
    <row r="34" spans="1:4" x14ac:dyDescent="0.25">
      <c r="A34" s="92" t="s">
        <v>76</v>
      </c>
      <c r="B34" s="92"/>
      <c r="C34" s="83">
        <v>142.72499999999999</v>
      </c>
      <c r="D34" s="93" t="s">
        <v>74</v>
      </c>
    </row>
    <row r="35" spans="1:4" x14ac:dyDescent="0.25">
      <c r="A35" s="86" t="s">
        <v>77</v>
      </c>
      <c r="B35" s="86"/>
      <c r="C35" s="83">
        <f>SUM(C36:C39)</f>
        <v>200.75</v>
      </c>
      <c r="D35" s="93" t="s">
        <v>74</v>
      </c>
    </row>
    <row r="36" spans="1:4" x14ac:dyDescent="0.25">
      <c r="A36" s="65" t="s">
        <v>78</v>
      </c>
      <c r="B36" s="20"/>
      <c r="C36" s="58">
        <v>30</v>
      </c>
      <c r="D36" s="58" t="s">
        <v>74</v>
      </c>
    </row>
    <row r="37" spans="1:4" x14ac:dyDescent="0.25">
      <c r="A37" s="65" t="s">
        <v>79</v>
      </c>
      <c r="B37" s="20"/>
      <c r="C37" s="88">
        <v>30.75</v>
      </c>
      <c r="D37" s="58" t="s">
        <v>74</v>
      </c>
    </row>
    <row r="38" spans="1:4" x14ac:dyDescent="0.25">
      <c r="A38" s="65" t="s">
        <v>80</v>
      </c>
      <c r="B38" s="20"/>
      <c r="C38" s="58">
        <v>100</v>
      </c>
      <c r="D38" s="58" t="s">
        <v>74</v>
      </c>
    </row>
    <row r="39" spans="1:4" x14ac:dyDescent="0.25">
      <c r="A39" s="65" t="s">
        <v>81</v>
      </c>
      <c r="B39" s="20"/>
      <c r="C39" s="58">
        <v>40</v>
      </c>
      <c r="D39" s="58" t="s">
        <v>74</v>
      </c>
    </row>
    <row r="40" spans="1:4" ht="15.75" x14ac:dyDescent="0.25">
      <c r="A40" s="76" t="s">
        <v>82</v>
      </c>
      <c r="B40" s="77"/>
      <c r="C40" s="78">
        <f>C34+C35</f>
        <v>343.47500000000002</v>
      </c>
      <c r="D40" s="94"/>
    </row>
    <row r="41" spans="1:4" ht="15.75" x14ac:dyDescent="0.25">
      <c r="A41" s="95"/>
      <c r="B41" s="95"/>
      <c r="C41" s="7"/>
      <c r="D41" s="7"/>
    </row>
    <row r="42" spans="1:4" ht="15.75" x14ac:dyDescent="0.25">
      <c r="A42" s="96" t="s">
        <v>83</v>
      </c>
      <c r="B42" s="95"/>
      <c r="C42" s="7"/>
      <c r="D42" s="7"/>
    </row>
    <row r="43" spans="1:4" ht="15.75" x14ac:dyDescent="0.25">
      <c r="A43" s="96"/>
      <c r="B43" s="95"/>
      <c r="C43" s="7"/>
      <c r="D43" s="7"/>
    </row>
    <row r="44" spans="1:4" ht="15.75" x14ac:dyDescent="0.25">
      <c r="A44" s="76" t="s">
        <v>84</v>
      </c>
      <c r="B44" s="77"/>
      <c r="C44" s="78">
        <f>C22+C32+C40</f>
        <v>5196.7750000000005</v>
      </c>
      <c r="D44" s="78">
        <f>D22+D32+D40</f>
        <v>2390.8999999999996</v>
      </c>
    </row>
  </sheetData>
  <customSheetViews>
    <customSheetView guid="{77EFF5B1-32BE-4080-9902-B97F43099026}">
      <pageMargins left="0.7" right="0.7" top="0.75" bottom="0.75" header="0.3" footer="0.3"/>
    </customSheetView>
    <customSheetView guid="{AAA495E0-27FD-4941-85B8-9038B6AD4FA3}">
      <selection activeCell="F4" sqref="F4"/>
      <pageMargins left="0.7" right="0.7" top="0.75" bottom="0.75" header="0.3" footer="0.3"/>
    </customSheetView>
    <customSheetView guid="{874BA5F8-BD95-4DDF-8F31-98DB154CA965}">
      <selection activeCell="F4" sqref="F4"/>
      <pageMargins left="0.7" right="0.7" top="0.75" bottom="0.75" header="0.3" footer="0.3"/>
    </customSheetView>
    <customSheetView guid="{627AEB6E-B9F1-415E-9A60-881757A50C67}">
      <selection activeCell="C3" sqref="C3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BY46"/>
  <sheetViews>
    <sheetView workbookViewId="0">
      <selection activeCell="F17" sqref="F17"/>
    </sheetView>
  </sheetViews>
  <sheetFormatPr defaultRowHeight="15" x14ac:dyDescent="0.25"/>
  <cols>
    <col min="1" max="1" width="27.28515625" style="12" customWidth="1"/>
    <col min="2" max="2" width="3.7109375" style="12" customWidth="1"/>
    <col min="3" max="3" width="22.7109375" style="12" customWidth="1"/>
    <col min="4" max="5" width="18.7109375" style="12" customWidth="1"/>
    <col min="6" max="6" width="22.7109375" style="12" customWidth="1"/>
    <col min="7" max="7" width="3.7109375" style="12" customWidth="1"/>
    <col min="8" max="8" width="22.7109375" style="12" customWidth="1"/>
    <col min="9" max="10" width="18.7109375" style="12" customWidth="1"/>
    <col min="11" max="11" width="22.7109375" style="12" customWidth="1"/>
    <col min="12" max="12" width="9.140625" style="12"/>
    <col min="13" max="13" width="22.7109375" style="12" customWidth="1"/>
    <col min="14" max="15" width="18.7109375" style="12" customWidth="1"/>
    <col min="16" max="16" width="24.5703125" style="12" customWidth="1"/>
    <col min="17" max="17" width="3.7109375" style="12" customWidth="1"/>
    <col min="18" max="18" width="22.7109375" style="12" customWidth="1"/>
    <col min="19" max="20" width="18.7109375" style="12" customWidth="1"/>
    <col min="21" max="21" width="24.5703125" style="12" customWidth="1"/>
    <col min="22" max="22" width="9.140625" style="12"/>
    <col min="23" max="23" width="22.28515625" style="12" customWidth="1"/>
    <col min="24" max="24" width="17.7109375" style="12" customWidth="1"/>
    <col min="25" max="25" width="17" style="12" customWidth="1"/>
    <col min="26" max="26" width="24" style="12" customWidth="1"/>
    <col min="27" max="27" width="9.140625" style="12"/>
    <col min="28" max="28" width="22.5703125" style="12" customWidth="1"/>
    <col min="29" max="29" width="9.7109375" style="12" bestFit="1" customWidth="1"/>
    <col min="30" max="30" width="10.28515625" style="12" bestFit="1" customWidth="1"/>
    <col min="31" max="31" width="23.7109375" style="12" customWidth="1"/>
    <col min="32" max="32" width="9.140625" style="12"/>
    <col min="33" max="33" width="24.28515625" style="12" customWidth="1"/>
    <col min="34" max="34" width="19.7109375" style="12" customWidth="1"/>
    <col min="35" max="35" width="20.140625" style="12" customWidth="1"/>
    <col min="36" max="36" width="24.140625" style="12" customWidth="1"/>
    <col min="37" max="37" width="9.140625" style="12"/>
    <col min="38" max="38" width="23" style="12" customWidth="1"/>
    <col min="39" max="39" width="15.85546875" style="12" customWidth="1"/>
    <col min="40" max="40" width="14.5703125" style="12" customWidth="1"/>
    <col min="41" max="41" width="23.7109375" style="12" customWidth="1"/>
    <col min="42" max="42" width="9.140625" style="12"/>
    <col min="43" max="43" width="28.28515625" style="12" customWidth="1"/>
    <col min="44" max="45" width="19.85546875" style="12" customWidth="1"/>
    <col min="46" max="46" width="24.85546875" style="12" customWidth="1"/>
    <col min="47" max="47" width="9.140625" style="12"/>
    <col min="48" max="48" width="23.140625" style="12" customWidth="1"/>
    <col min="49" max="49" width="19.140625" style="12" customWidth="1"/>
    <col min="50" max="50" width="19" style="12" customWidth="1"/>
    <col min="51" max="51" width="24.28515625" style="12" customWidth="1"/>
    <col min="52" max="52" width="9.140625" style="12"/>
    <col min="53" max="53" width="24" style="12" customWidth="1"/>
    <col min="54" max="55" width="19" style="12" customWidth="1"/>
    <col min="56" max="56" width="25.5703125" style="12" customWidth="1"/>
    <col min="57" max="57" width="9.140625" style="12"/>
    <col min="58" max="58" width="25.28515625" style="12" customWidth="1"/>
    <col min="59" max="59" width="17.42578125" style="12" customWidth="1"/>
    <col min="60" max="60" width="19.140625" style="12" customWidth="1"/>
    <col min="61" max="61" width="22.28515625" style="12" customWidth="1"/>
    <col min="62" max="62" width="9.140625" style="12"/>
    <col min="63" max="63" width="28.140625" style="12" bestFit="1" customWidth="1"/>
    <col min="64" max="64" width="22.85546875" style="12" customWidth="1"/>
    <col min="65" max="66" width="9.7109375" style="12" bestFit="1" customWidth="1"/>
    <col min="67" max="67" width="21.42578125" style="12" customWidth="1"/>
    <col min="68" max="68" width="9.140625" style="12"/>
    <col min="69" max="69" width="21.5703125" style="12" customWidth="1"/>
    <col min="70" max="70" width="15.140625" style="12" customWidth="1"/>
    <col min="71" max="71" width="13.7109375" style="12" customWidth="1"/>
    <col min="72" max="72" width="23.42578125" style="12" customWidth="1"/>
    <col min="73" max="73" width="9.140625" style="12"/>
    <col min="74" max="74" width="21.5703125" style="12" customWidth="1"/>
    <col min="75" max="75" width="13.28515625" style="12" customWidth="1"/>
    <col min="76" max="76" width="14.7109375" style="12" customWidth="1"/>
    <col min="77" max="77" width="21.42578125" style="12" customWidth="1"/>
    <col min="78" max="16384" width="9.140625" style="12"/>
  </cols>
  <sheetData>
    <row r="1" spans="1:77" ht="20.25" x14ac:dyDescent="0.25">
      <c r="A1" s="1" t="s">
        <v>85</v>
      </c>
      <c r="B1" s="13"/>
      <c r="C1" s="98"/>
      <c r="D1" s="98"/>
      <c r="E1" s="98"/>
      <c r="F1" s="98"/>
      <c r="G1" s="13"/>
      <c r="H1" s="1"/>
      <c r="I1" s="1"/>
      <c r="J1" s="1"/>
      <c r="K1" s="1"/>
      <c r="L1" s="13"/>
      <c r="M1" s="98"/>
      <c r="N1" s="98"/>
      <c r="O1" s="98"/>
      <c r="P1" s="98"/>
      <c r="Q1" s="13"/>
      <c r="R1" s="1"/>
      <c r="S1" s="1"/>
      <c r="T1" s="1"/>
      <c r="U1" s="1"/>
      <c r="V1" s="13"/>
      <c r="W1" s="1"/>
      <c r="X1" s="1"/>
      <c r="Y1" s="1"/>
      <c r="Z1" s="1"/>
      <c r="AA1" s="13"/>
      <c r="AB1" s="1"/>
      <c r="AC1" s="1"/>
      <c r="AD1" s="1"/>
      <c r="AE1" s="1"/>
      <c r="AF1" s="98"/>
      <c r="AG1" s="1"/>
      <c r="AH1" s="1"/>
      <c r="AI1" s="1"/>
      <c r="AJ1" s="1"/>
      <c r="AK1" s="98"/>
      <c r="AL1" s="1"/>
      <c r="AM1" s="1"/>
      <c r="AN1" s="1"/>
      <c r="AO1" s="1"/>
      <c r="AQ1" s="1"/>
      <c r="AR1" s="1"/>
      <c r="AS1" s="1"/>
      <c r="AT1" s="1"/>
      <c r="AV1" s="1"/>
      <c r="AW1" s="1"/>
      <c r="AX1" s="1"/>
      <c r="AY1" s="1"/>
      <c r="AZ1" s="13"/>
      <c r="BA1" s="1"/>
      <c r="BB1" s="1"/>
      <c r="BC1" s="1"/>
      <c r="BD1" s="1"/>
      <c r="BE1" s="13"/>
      <c r="BF1" s="1"/>
      <c r="BG1" s="1"/>
      <c r="BH1" s="1"/>
      <c r="BI1" s="1"/>
      <c r="BJ1" s="13"/>
      <c r="BK1" s="1" t="s">
        <v>85</v>
      </c>
      <c r="BL1" s="6"/>
      <c r="BM1" s="6"/>
      <c r="BN1" s="6"/>
      <c r="BO1" s="6"/>
      <c r="BP1" s="13"/>
      <c r="BQ1" s="6"/>
      <c r="BR1" s="6"/>
      <c r="BS1" s="6"/>
      <c r="BT1" s="6"/>
      <c r="BU1" s="13"/>
      <c r="BV1" s="6"/>
      <c r="BW1" s="6"/>
      <c r="BX1" s="6"/>
      <c r="BY1" s="6"/>
    </row>
    <row r="2" spans="1:77" ht="38.25" x14ac:dyDescent="0.25">
      <c r="A2" s="99" t="s">
        <v>86</v>
      </c>
      <c r="B2" s="13"/>
      <c r="C2" s="100" t="s">
        <v>553</v>
      </c>
      <c r="D2" s="100" t="s">
        <v>554</v>
      </c>
      <c r="E2" s="100" t="s">
        <v>555</v>
      </c>
      <c r="F2" s="100" t="s">
        <v>556</v>
      </c>
      <c r="G2" s="13"/>
      <c r="H2" s="100" t="s">
        <v>557</v>
      </c>
      <c r="I2" s="100" t="s">
        <v>558</v>
      </c>
      <c r="J2" s="100" t="s">
        <v>559</v>
      </c>
      <c r="K2" s="100" t="s">
        <v>556</v>
      </c>
      <c r="L2" s="13"/>
      <c r="M2" s="100" t="s">
        <v>520</v>
      </c>
      <c r="N2" s="100" t="s">
        <v>521</v>
      </c>
      <c r="O2" s="100" t="s">
        <v>522</v>
      </c>
      <c r="P2" s="100" t="s">
        <v>523</v>
      </c>
      <c r="Q2" s="13"/>
      <c r="R2" s="100" t="s">
        <v>524</v>
      </c>
      <c r="S2" s="100" t="s">
        <v>525</v>
      </c>
      <c r="T2" s="100" t="s">
        <v>526</v>
      </c>
      <c r="U2" s="100" t="s">
        <v>523</v>
      </c>
      <c r="V2" s="13"/>
      <c r="W2" s="100" t="s">
        <v>87</v>
      </c>
      <c r="X2" s="100" t="s">
        <v>88</v>
      </c>
      <c r="Y2" s="100" t="s">
        <v>89</v>
      </c>
      <c r="Z2" s="100" t="s">
        <v>90</v>
      </c>
      <c r="AA2" s="13"/>
      <c r="AB2" s="101" t="s">
        <v>91</v>
      </c>
      <c r="AC2" s="101" t="s">
        <v>92</v>
      </c>
      <c r="AD2" s="101" t="s">
        <v>93</v>
      </c>
      <c r="AE2" s="101" t="s">
        <v>94</v>
      </c>
      <c r="AF2" s="34"/>
      <c r="AG2" s="101" t="s">
        <v>95</v>
      </c>
      <c r="AH2" s="101" t="s">
        <v>96</v>
      </c>
      <c r="AI2" s="101" t="s">
        <v>97</v>
      </c>
      <c r="AJ2" s="101" t="s">
        <v>94</v>
      </c>
      <c r="AK2" s="102"/>
      <c r="AL2" s="101" t="s">
        <v>98</v>
      </c>
      <c r="AM2" s="101" t="s">
        <v>99</v>
      </c>
      <c r="AN2" s="101" t="s">
        <v>100</v>
      </c>
      <c r="AO2" s="101" t="s">
        <v>101</v>
      </c>
      <c r="AQ2" s="101" t="s">
        <v>102</v>
      </c>
      <c r="AR2" s="101" t="s">
        <v>103</v>
      </c>
      <c r="AS2" s="101" t="s">
        <v>104</v>
      </c>
      <c r="AT2" s="101" t="s">
        <v>101</v>
      </c>
      <c r="AV2" s="100" t="s">
        <v>105</v>
      </c>
      <c r="AW2" s="100" t="s">
        <v>106</v>
      </c>
      <c r="AX2" s="100" t="s">
        <v>107</v>
      </c>
      <c r="AY2" s="100" t="s">
        <v>108</v>
      </c>
      <c r="AZ2" s="13"/>
      <c r="BA2" s="100" t="s">
        <v>109</v>
      </c>
      <c r="BB2" s="100" t="s">
        <v>110</v>
      </c>
      <c r="BC2" s="100" t="s">
        <v>111</v>
      </c>
      <c r="BD2" s="100" t="s">
        <v>108</v>
      </c>
      <c r="BE2" s="13"/>
      <c r="BF2" s="100" t="s">
        <v>112</v>
      </c>
      <c r="BG2" s="100" t="s">
        <v>113</v>
      </c>
      <c r="BH2" s="100" t="s">
        <v>114</v>
      </c>
      <c r="BI2" s="100" t="s">
        <v>115</v>
      </c>
      <c r="BJ2" s="13"/>
      <c r="BK2" s="99" t="s">
        <v>86</v>
      </c>
      <c r="BL2" s="103" t="s">
        <v>116</v>
      </c>
      <c r="BM2" s="103" t="s">
        <v>117</v>
      </c>
      <c r="BN2" s="103" t="s">
        <v>118</v>
      </c>
      <c r="BO2" s="103" t="s">
        <v>119</v>
      </c>
      <c r="BP2" s="13"/>
      <c r="BQ2" s="103" t="s">
        <v>120</v>
      </c>
      <c r="BR2" s="103" t="s">
        <v>121</v>
      </c>
      <c r="BS2" s="103" t="s">
        <v>122</v>
      </c>
      <c r="BT2" s="103" t="s">
        <v>123</v>
      </c>
      <c r="BU2" s="13"/>
      <c r="BV2" s="103" t="s">
        <v>124</v>
      </c>
      <c r="BW2" s="103" t="s">
        <v>125</v>
      </c>
      <c r="BX2" s="103" t="s">
        <v>126</v>
      </c>
      <c r="BY2" s="103" t="s">
        <v>127</v>
      </c>
    </row>
    <row r="3" spans="1:77" x14ac:dyDescent="0.25">
      <c r="A3" s="14" t="s">
        <v>128</v>
      </c>
      <c r="B3" s="13"/>
      <c r="C3" s="104">
        <v>887524</v>
      </c>
      <c r="D3" s="104">
        <v>-136658</v>
      </c>
      <c r="E3" s="104">
        <v>-228703</v>
      </c>
      <c r="F3" s="104">
        <v>1949034</v>
      </c>
      <c r="G3" s="13"/>
      <c r="H3" s="104">
        <v>375392</v>
      </c>
      <c r="I3" s="104">
        <v>32590</v>
      </c>
      <c r="J3" s="104">
        <v>1833</v>
      </c>
      <c r="K3" s="104">
        <v>1949034</v>
      </c>
      <c r="L3" s="13"/>
      <c r="M3" s="104">
        <v>512132</v>
      </c>
      <c r="N3" s="104">
        <v>-169248</v>
      </c>
      <c r="O3" s="104">
        <v>-230536</v>
      </c>
      <c r="P3" s="104">
        <v>1954277</v>
      </c>
      <c r="Q3" s="13"/>
      <c r="R3" s="104">
        <v>257978</v>
      </c>
      <c r="S3" s="104">
        <v>-104490</v>
      </c>
      <c r="T3" s="104">
        <v>-127029</v>
      </c>
      <c r="U3" s="104">
        <v>1954277</v>
      </c>
      <c r="V3" s="13"/>
      <c r="W3" s="104">
        <v>254154</v>
      </c>
      <c r="X3" s="104">
        <v>-64758</v>
      </c>
      <c r="Y3" s="104">
        <v>-103507</v>
      </c>
      <c r="Z3" s="104">
        <v>1952787</v>
      </c>
      <c r="AA3" s="13"/>
      <c r="AB3" s="104">
        <v>1205944</v>
      </c>
      <c r="AC3" s="104">
        <v>9137</v>
      </c>
      <c r="AD3" s="104">
        <v>-104328</v>
      </c>
      <c r="AE3" s="104">
        <v>1657407</v>
      </c>
      <c r="AF3" s="20"/>
      <c r="AG3" s="104">
        <v>331130</v>
      </c>
      <c r="AH3" s="104">
        <v>32369</v>
      </c>
      <c r="AI3" s="104">
        <v>3251</v>
      </c>
      <c r="AJ3" s="104">
        <v>1657407</v>
      </c>
      <c r="AK3" s="20"/>
      <c r="AL3" s="104">
        <v>874814</v>
      </c>
      <c r="AM3" s="104">
        <v>-23232</v>
      </c>
      <c r="AN3" s="104">
        <v>-107579</v>
      </c>
      <c r="AO3" s="104">
        <v>1691191</v>
      </c>
      <c r="AQ3" s="104">
        <v>332863</v>
      </c>
      <c r="AR3" s="104">
        <v>134670</v>
      </c>
      <c r="AS3" s="104">
        <v>106686</v>
      </c>
      <c r="AT3" s="104">
        <v>1691191</v>
      </c>
      <c r="AV3" s="105">
        <v>541951</v>
      </c>
      <c r="AW3" s="105">
        <v>-157903</v>
      </c>
      <c r="AX3" s="105">
        <v>-214265</v>
      </c>
      <c r="AY3" s="105">
        <v>1728184</v>
      </c>
      <c r="AZ3" s="13"/>
      <c r="BA3" s="105">
        <v>273192</v>
      </c>
      <c r="BB3" s="105">
        <v>-113717</v>
      </c>
      <c r="BC3" s="105">
        <v>-142220</v>
      </c>
      <c r="BD3" s="105">
        <v>1728184</v>
      </c>
      <c r="BE3" s="13"/>
      <c r="BF3" s="105">
        <v>268759</v>
      </c>
      <c r="BG3" s="105">
        <v>-44186</v>
      </c>
      <c r="BH3" s="105">
        <v>-72045</v>
      </c>
      <c r="BI3" s="105">
        <v>1773973</v>
      </c>
      <c r="BJ3" s="13"/>
      <c r="BK3" s="14" t="s">
        <v>128</v>
      </c>
      <c r="BL3" s="106">
        <v>1194024</v>
      </c>
      <c r="BM3" s="106">
        <v>98412</v>
      </c>
      <c r="BN3" s="106">
        <v>-6829</v>
      </c>
      <c r="BO3" s="106">
        <v>1742510</v>
      </c>
      <c r="BP3" s="13"/>
      <c r="BQ3" s="106">
        <v>870843</v>
      </c>
      <c r="BR3" s="106">
        <v>83480</v>
      </c>
      <c r="BS3" s="106">
        <v>5347</v>
      </c>
      <c r="BT3" s="106">
        <v>1666780</v>
      </c>
      <c r="BU3" s="13"/>
      <c r="BV3" s="106">
        <v>529412</v>
      </c>
      <c r="BW3" s="106">
        <v>28174</v>
      </c>
      <c r="BX3" s="106">
        <v>-23785</v>
      </c>
      <c r="BY3" s="106">
        <v>1640587</v>
      </c>
    </row>
    <row r="4" spans="1:77" x14ac:dyDescent="0.25">
      <c r="A4" s="20" t="s">
        <v>129</v>
      </c>
      <c r="B4" s="13"/>
      <c r="C4" s="104">
        <v>3243691</v>
      </c>
      <c r="D4" s="104">
        <v>447109</v>
      </c>
      <c r="E4" s="104">
        <v>-569841</v>
      </c>
      <c r="F4" s="104">
        <v>10429522</v>
      </c>
      <c r="G4" s="13"/>
      <c r="H4" s="104">
        <v>901057</v>
      </c>
      <c r="I4" s="104">
        <v>93148</v>
      </c>
      <c r="J4" s="104">
        <v>-11530</v>
      </c>
      <c r="K4" s="104">
        <v>10429522</v>
      </c>
      <c r="L4" s="13"/>
      <c r="M4" s="104">
        <v>2342634</v>
      </c>
      <c r="N4" s="104">
        <v>353961</v>
      </c>
      <c r="O4" s="104">
        <v>-558311</v>
      </c>
      <c r="P4" s="104">
        <v>10151833</v>
      </c>
      <c r="Q4" s="13"/>
      <c r="R4" s="104">
        <v>1070810</v>
      </c>
      <c r="S4" s="104">
        <v>162812</v>
      </c>
      <c r="T4" s="104">
        <v>-647533</v>
      </c>
      <c r="U4" s="104">
        <v>10151833</v>
      </c>
      <c r="V4" s="13"/>
      <c r="W4" s="104">
        <v>1271824</v>
      </c>
      <c r="X4" s="104">
        <v>191149</v>
      </c>
      <c r="Y4" s="104">
        <v>89222</v>
      </c>
      <c r="Z4" s="104">
        <v>10775702</v>
      </c>
      <c r="AA4" s="13"/>
      <c r="AB4" s="104">
        <v>5376280</v>
      </c>
      <c r="AC4" s="104">
        <v>754751</v>
      </c>
      <c r="AD4" s="104">
        <v>-3477076</v>
      </c>
      <c r="AE4" s="104">
        <v>10788413</v>
      </c>
      <c r="AF4" s="20"/>
      <c r="AG4" s="104">
        <v>1464821</v>
      </c>
      <c r="AH4" s="104">
        <v>190712</v>
      </c>
      <c r="AI4" s="104">
        <v>-3607565</v>
      </c>
      <c r="AJ4" s="104">
        <v>10788413</v>
      </c>
      <c r="AK4" s="20"/>
      <c r="AL4" s="104">
        <v>3911459</v>
      </c>
      <c r="AM4" s="104">
        <v>564039</v>
      </c>
      <c r="AN4" s="104">
        <v>130489</v>
      </c>
      <c r="AO4" s="104">
        <v>13965188</v>
      </c>
      <c r="AQ4" s="104">
        <v>1164371</v>
      </c>
      <c r="AR4" s="104">
        <v>97637</v>
      </c>
      <c r="AS4" s="104">
        <v>-51447</v>
      </c>
      <c r="AT4" s="104">
        <v>13965188</v>
      </c>
      <c r="AV4" s="105">
        <v>2674765</v>
      </c>
      <c r="AW4" s="105">
        <v>472911</v>
      </c>
      <c r="AX4" s="105">
        <v>181936</v>
      </c>
      <c r="AY4" s="105">
        <v>13605284</v>
      </c>
      <c r="AZ4" s="13"/>
      <c r="BA4" s="105">
        <v>1147664</v>
      </c>
      <c r="BB4" s="105">
        <v>188570</v>
      </c>
      <c r="BC4" s="105">
        <v>44376</v>
      </c>
      <c r="BD4" s="105">
        <v>13605284</v>
      </c>
      <c r="BE4" s="13"/>
      <c r="BF4" s="105">
        <v>1527101</v>
      </c>
      <c r="BG4" s="105">
        <v>284341</v>
      </c>
      <c r="BH4" s="105">
        <v>137560</v>
      </c>
      <c r="BI4" s="105">
        <v>13386310</v>
      </c>
      <c r="BJ4" s="13"/>
      <c r="BK4" s="20" t="s">
        <v>129</v>
      </c>
      <c r="BL4" s="105">
        <v>3218162</v>
      </c>
      <c r="BM4" s="105">
        <v>251838</v>
      </c>
      <c r="BN4" s="105">
        <v>-189247</v>
      </c>
      <c r="BO4" s="107">
        <v>8393127</v>
      </c>
      <c r="BP4" s="13"/>
      <c r="BQ4" s="105">
        <v>2304778</v>
      </c>
      <c r="BR4" s="105">
        <v>200144</v>
      </c>
      <c r="BS4" s="105">
        <v>-154254</v>
      </c>
      <c r="BT4" s="107">
        <v>7636136</v>
      </c>
      <c r="BU4" s="13"/>
      <c r="BV4" s="105">
        <v>1472664</v>
      </c>
      <c r="BW4" s="105">
        <v>126991</v>
      </c>
      <c r="BX4" s="105">
        <v>-110708</v>
      </c>
      <c r="BY4" s="107">
        <v>7741435</v>
      </c>
    </row>
    <row r="5" spans="1:77" x14ac:dyDescent="0.25">
      <c r="A5" s="20" t="s">
        <v>130</v>
      </c>
      <c r="B5" s="13"/>
      <c r="C5" s="104">
        <v>4676098</v>
      </c>
      <c r="D5" s="104">
        <v>1709660</v>
      </c>
      <c r="E5" s="104">
        <v>946514</v>
      </c>
      <c r="F5" s="104">
        <v>16307098</v>
      </c>
      <c r="G5" s="13"/>
      <c r="H5" s="104">
        <v>1531592</v>
      </c>
      <c r="I5" s="104">
        <v>562063</v>
      </c>
      <c r="J5" s="104">
        <v>302990</v>
      </c>
      <c r="K5" s="104">
        <v>16307098</v>
      </c>
      <c r="L5" s="13"/>
      <c r="M5" s="104">
        <v>3144506</v>
      </c>
      <c r="N5" s="104">
        <v>1147597</v>
      </c>
      <c r="O5" s="104">
        <v>643524</v>
      </c>
      <c r="P5" s="104">
        <v>16152899</v>
      </c>
      <c r="Q5" s="13"/>
      <c r="R5" s="104">
        <v>1528119</v>
      </c>
      <c r="S5" s="104">
        <v>604338</v>
      </c>
      <c r="T5" s="104">
        <v>351932</v>
      </c>
      <c r="U5" s="104">
        <v>16152899</v>
      </c>
      <c r="V5" s="13"/>
      <c r="W5" s="104">
        <v>1616387</v>
      </c>
      <c r="X5" s="104">
        <v>543259</v>
      </c>
      <c r="Y5" s="104">
        <v>291592</v>
      </c>
      <c r="Z5" s="104">
        <v>16019643</v>
      </c>
      <c r="AA5" s="13"/>
      <c r="AB5" s="104">
        <v>6450274</v>
      </c>
      <c r="AC5" s="104">
        <v>2372129</v>
      </c>
      <c r="AD5" s="104">
        <v>1371577</v>
      </c>
      <c r="AE5" s="104">
        <v>15974893</v>
      </c>
      <c r="AF5" s="20"/>
      <c r="AG5" s="104">
        <v>1657399</v>
      </c>
      <c r="AH5" s="104">
        <v>532836</v>
      </c>
      <c r="AI5" s="104">
        <v>264854</v>
      </c>
      <c r="AJ5" s="104">
        <v>15974893</v>
      </c>
      <c r="AK5" s="20"/>
      <c r="AL5" s="104">
        <v>4792875</v>
      </c>
      <c r="AM5" s="104">
        <v>1839293</v>
      </c>
      <c r="AN5" s="104">
        <v>1106723</v>
      </c>
      <c r="AO5" s="104">
        <v>15402617</v>
      </c>
      <c r="AQ5" s="104">
        <v>1564518</v>
      </c>
      <c r="AR5" s="104">
        <v>596633</v>
      </c>
      <c r="AS5" s="104">
        <v>348307</v>
      </c>
      <c r="AT5" s="104">
        <v>15402617</v>
      </c>
      <c r="AV5" s="105">
        <v>3228357</v>
      </c>
      <c r="AW5" s="105">
        <v>1243279</v>
      </c>
      <c r="AX5" s="105">
        <v>758416</v>
      </c>
      <c r="AY5" s="105">
        <v>15222418</v>
      </c>
      <c r="AZ5" s="13"/>
      <c r="BA5" s="105">
        <v>1585385</v>
      </c>
      <c r="BB5" s="105">
        <v>696539</v>
      </c>
      <c r="BC5" s="105">
        <v>453363</v>
      </c>
      <c r="BD5" s="105">
        <v>15222418</v>
      </c>
      <c r="BE5" s="13"/>
      <c r="BF5" s="105">
        <v>1642972</v>
      </c>
      <c r="BG5" s="105">
        <v>546740</v>
      </c>
      <c r="BH5" s="105">
        <v>305053</v>
      </c>
      <c r="BI5" s="105">
        <v>15087347</v>
      </c>
      <c r="BJ5" s="13"/>
      <c r="BK5" s="20" t="s">
        <v>131</v>
      </c>
      <c r="BL5" s="105">
        <v>280998</v>
      </c>
      <c r="BM5" s="105">
        <v>180166</v>
      </c>
      <c r="BN5" s="105">
        <v>102577</v>
      </c>
      <c r="BO5" s="107">
        <v>1985920</v>
      </c>
      <c r="BP5" s="13"/>
      <c r="BQ5" s="105">
        <v>215979</v>
      </c>
      <c r="BR5" s="105">
        <v>142418</v>
      </c>
      <c r="BS5" s="105">
        <v>82343</v>
      </c>
      <c r="BT5" s="107">
        <v>1929270</v>
      </c>
      <c r="BU5" s="13"/>
      <c r="BV5" s="105">
        <v>144900</v>
      </c>
      <c r="BW5" s="105">
        <v>96716</v>
      </c>
      <c r="BX5" s="105">
        <v>56649</v>
      </c>
      <c r="BY5" s="107">
        <v>1929486</v>
      </c>
    </row>
    <row r="6" spans="1:77" x14ac:dyDescent="0.25">
      <c r="A6" s="20" t="s">
        <v>132</v>
      </c>
      <c r="B6" s="13"/>
      <c r="C6" s="104">
        <v>10286983</v>
      </c>
      <c r="D6" s="104">
        <v>397119</v>
      </c>
      <c r="E6" s="104">
        <v>388811</v>
      </c>
      <c r="F6" s="104">
        <v>2204864</v>
      </c>
      <c r="G6" s="13"/>
      <c r="H6" s="104">
        <v>3299797</v>
      </c>
      <c r="I6" s="104">
        <v>117315</v>
      </c>
      <c r="J6" s="104">
        <v>114921</v>
      </c>
      <c r="K6" s="104">
        <v>2204864</v>
      </c>
      <c r="L6" s="13"/>
      <c r="M6" s="104">
        <v>6987186</v>
      </c>
      <c r="N6" s="104">
        <v>279804</v>
      </c>
      <c r="O6" s="104">
        <v>273890</v>
      </c>
      <c r="P6" s="104">
        <v>2310378</v>
      </c>
      <c r="Q6" s="13"/>
      <c r="R6" s="104">
        <v>3395998</v>
      </c>
      <c r="S6" s="104">
        <v>113042</v>
      </c>
      <c r="T6" s="104">
        <v>113669</v>
      </c>
      <c r="U6" s="104">
        <v>2310378</v>
      </c>
      <c r="V6" s="13"/>
      <c r="W6" s="104">
        <v>3591188</v>
      </c>
      <c r="X6" s="104">
        <v>166762</v>
      </c>
      <c r="Y6" s="104">
        <v>160221</v>
      </c>
      <c r="Z6" s="104">
        <v>2398142</v>
      </c>
      <c r="AA6" s="13"/>
      <c r="AB6" s="104">
        <v>15984139</v>
      </c>
      <c r="AC6" s="104">
        <v>380480</v>
      </c>
      <c r="AD6" s="104">
        <v>369604</v>
      </c>
      <c r="AE6" s="104">
        <v>2706907</v>
      </c>
      <c r="AF6" s="20"/>
      <c r="AG6" s="104">
        <v>4170986</v>
      </c>
      <c r="AH6" s="104">
        <v>-71455</v>
      </c>
      <c r="AI6" s="104">
        <v>-74193</v>
      </c>
      <c r="AJ6" s="104">
        <v>2706907</v>
      </c>
      <c r="AK6" s="20"/>
      <c r="AL6" s="104">
        <v>11813153</v>
      </c>
      <c r="AM6" s="104">
        <v>451935</v>
      </c>
      <c r="AN6" s="104">
        <v>443797</v>
      </c>
      <c r="AO6" s="104">
        <v>3016254</v>
      </c>
      <c r="AQ6" s="104">
        <v>3719173</v>
      </c>
      <c r="AR6" s="104">
        <v>116782</v>
      </c>
      <c r="AS6" s="104">
        <v>114042</v>
      </c>
      <c r="AT6" s="104">
        <v>3016254</v>
      </c>
      <c r="AV6" s="105">
        <v>8093980</v>
      </c>
      <c r="AW6" s="105">
        <v>335153</v>
      </c>
      <c r="AX6" s="105">
        <v>329755</v>
      </c>
      <c r="AY6" s="105">
        <v>2836963</v>
      </c>
      <c r="AZ6" s="13"/>
      <c r="BA6" s="105">
        <v>3915698</v>
      </c>
      <c r="BB6" s="105">
        <v>141382</v>
      </c>
      <c r="BC6" s="105">
        <v>138710</v>
      </c>
      <c r="BD6" s="105">
        <v>2836963</v>
      </c>
      <c r="BE6" s="13"/>
      <c r="BF6" s="105">
        <v>4178282</v>
      </c>
      <c r="BG6" s="105">
        <v>193771</v>
      </c>
      <c r="BH6" s="105">
        <v>191045</v>
      </c>
      <c r="BI6" s="105">
        <v>3003005</v>
      </c>
      <c r="BJ6" s="13"/>
      <c r="BK6" s="20" t="s">
        <v>133</v>
      </c>
      <c r="BL6" s="105">
        <v>1355454</v>
      </c>
      <c r="BM6" s="105">
        <v>308407</v>
      </c>
      <c r="BN6" s="105">
        <v>158763</v>
      </c>
      <c r="BO6" s="105">
        <v>2781001</v>
      </c>
      <c r="BP6" s="13"/>
      <c r="BQ6" s="105">
        <v>966998</v>
      </c>
      <c r="BR6" s="105">
        <v>181802</v>
      </c>
      <c r="BS6" s="105">
        <v>71156</v>
      </c>
      <c r="BT6" s="105">
        <v>3101958</v>
      </c>
      <c r="BU6" s="13"/>
      <c r="BV6" s="105">
        <v>717877</v>
      </c>
      <c r="BW6" s="105">
        <v>165226</v>
      </c>
      <c r="BX6" s="105">
        <v>92480</v>
      </c>
      <c r="BY6" s="105">
        <v>2962505</v>
      </c>
    </row>
    <row r="7" spans="1:77" x14ac:dyDescent="0.25">
      <c r="A7" s="25" t="s">
        <v>134</v>
      </c>
      <c r="B7" s="13"/>
      <c r="C7" s="108">
        <v>616896</v>
      </c>
      <c r="D7" s="108">
        <v>102268</v>
      </c>
      <c r="E7" s="108">
        <v>48146</v>
      </c>
      <c r="F7" s="108">
        <v>433699</v>
      </c>
      <c r="G7" s="13"/>
      <c r="H7" s="108">
        <v>188053</v>
      </c>
      <c r="I7" s="108">
        <v>36232</v>
      </c>
      <c r="J7" s="108">
        <v>18324</v>
      </c>
      <c r="K7" s="108">
        <v>433699</v>
      </c>
      <c r="L7" s="13"/>
      <c r="M7" s="108">
        <v>428843</v>
      </c>
      <c r="N7" s="108">
        <v>66036</v>
      </c>
      <c r="O7" s="108">
        <v>29822</v>
      </c>
      <c r="P7" s="108">
        <v>443449</v>
      </c>
      <c r="Q7" s="13"/>
      <c r="R7" s="108">
        <v>211401</v>
      </c>
      <c r="S7" s="108">
        <v>35550</v>
      </c>
      <c r="T7" s="108">
        <v>17383</v>
      </c>
      <c r="U7" s="108">
        <v>443449</v>
      </c>
      <c r="V7" s="13"/>
      <c r="W7" s="108">
        <v>217442</v>
      </c>
      <c r="X7" s="108">
        <v>30486</v>
      </c>
      <c r="Y7" s="108">
        <v>12439</v>
      </c>
      <c r="Z7" s="108">
        <v>460262</v>
      </c>
      <c r="AA7" s="13"/>
      <c r="AB7" s="108">
        <v>927953</v>
      </c>
      <c r="AC7" s="108">
        <v>100320</v>
      </c>
      <c r="AD7" s="108">
        <v>32596</v>
      </c>
      <c r="AE7" s="108">
        <v>478618</v>
      </c>
      <c r="AF7" s="20"/>
      <c r="AG7" s="108">
        <v>225159</v>
      </c>
      <c r="AH7" s="108">
        <v>2137</v>
      </c>
      <c r="AI7" s="108">
        <v>-15376</v>
      </c>
      <c r="AJ7" s="108">
        <v>478618</v>
      </c>
      <c r="AK7" s="20"/>
      <c r="AL7" s="108">
        <v>702794</v>
      </c>
      <c r="AM7" s="108">
        <v>98183</v>
      </c>
      <c r="AN7" s="108">
        <v>47972</v>
      </c>
      <c r="AO7" s="108">
        <v>438649</v>
      </c>
      <c r="AQ7" s="108">
        <v>199648</v>
      </c>
      <c r="AR7" s="108">
        <v>37188</v>
      </c>
      <c r="AS7" s="108">
        <v>20076</v>
      </c>
      <c r="AT7" s="108">
        <v>438649</v>
      </c>
      <c r="AV7" s="109">
        <v>503146</v>
      </c>
      <c r="AW7" s="109">
        <v>60856</v>
      </c>
      <c r="AX7" s="109">
        <v>27896</v>
      </c>
      <c r="AY7" s="109">
        <v>448459</v>
      </c>
      <c r="AZ7" s="13"/>
      <c r="BA7" s="109">
        <v>239006</v>
      </c>
      <c r="BB7" s="109">
        <v>17517</v>
      </c>
      <c r="BC7" s="109">
        <v>789</v>
      </c>
      <c r="BD7" s="109">
        <v>448459</v>
      </c>
      <c r="BE7" s="13"/>
      <c r="BF7" s="109">
        <v>264140</v>
      </c>
      <c r="BG7" s="109">
        <v>43339</v>
      </c>
      <c r="BH7" s="109">
        <v>27107</v>
      </c>
      <c r="BI7" s="109">
        <v>484742</v>
      </c>
      <c r="BJ7" s="13"/>
      <c r="BK7" s="20" t="s">
        <v>130</v>
      </c>
      <c r="BL7" s="105">
        <v>6074646</v>
      </c>
      <c r="BM7" s="105">
        <v>2157136</v>
      </c>
      <c r="BN7" s="105">
        <v>1209344</v>
      </c>
      <c r="BO7" s="107">
        <v>15012125</v>
      </c>
      <c r="BP7" s="13"/>
      <c r="BQ7" s="105">
        <v>4528811</v>
      </c>
      <c r="BR7" s="105">
        <v>1777840</v>
      </c>
      <c r="BS7" s="105">
        <v>1070837</v>
      </c>
      <c r="BT7" s="107">
        <v>14581007</v>
      </c>
      <c r="BU7" s="13"/>
      <c r="BV7" s="105">
        <v>3048951</v>
      </c>
      <c r="BW7" s="105">
        <v>1169688</v>
      </c>
      <c r="BX7" s="105">
        <v>700012</v>
      </c>
      <c r="BY7" s="107">
        <v>14377042</v>
      </c>
    </row>
    <row r="8" spans="1:77" x14ac:dyDescent="0.25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F8" s="34"/>
      <c r="AK8" s="34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20" t="s">
        <v>132</v>
      </c>
      <c r="BL8" s="105">
        <v>15277451</v>
      </c>
      <c r="BM8" s="105">
        <v>608213</v>
      </c>
      <c r="BN8" s="105">
        <v>582307</v>
      </c>
      <c r="BO8" s="107">
        <v>3715551</v>
      </c>
      <c r="BP8" s="13"/>
      <c r="BQ8" s="105">
        <v>11266992</v>
      </c>
      <c r="BR8" s="105">
        <v>501464</v>
      </c>
      <c r="BS8" s="105">
        <v>478799</v>
      </c>
      <c r="BT8" s="107">
        <v>2413083</v>
      </c>
      <c r="BU8" s="13"/>
      <c r="BV8" s="105">
        <v>7575109</v>
      </c>
      <c r="BW8" s="105">
        <v>391634</v>
      </c>
      <c r="BX8" s="105">
        <v>373508</v>
      </c>
      <c r="BY8" s="107">
        <v>2040729</v>
      </c>
    </row>
    <row r="9" spans="1:77" x14ac:dyDescent="0.25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F9" s="34"/>
      <c r="AK9" s="34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20" t="s">
        <v>135</v>
      </c>
      <c r="BL9" s="105">
        <v>610021</v>
      </c>
      <c r="BM9" s="105">
        <v>84165</v>
      </c>
      <c r="BN9" s="105">
        <v>41120</v>
      </c>
      <c r="BO9" s="105">
        <v>267663</v>
      </c>
      <c r="BP9" s="13"/>
      <c r="BQ9" s="105">
        <v>456151</v>
      </c>
      <c r="BR9" s="105">
        <v>86553</v>
      </c>
      <c r="BS9" s="105">
        <v>56211</v>
      </c>
      <c r="BT9" s="105">
        <v>230454</v>
      </c>
      <c r="BU9" s="13"/>
      <c r="BV9" s="105">
        <v>300764</v>
      </c>
      <c r="BW9" s="105">
        <v>55352</v>
      </c>
      <c r="BX9" s="105">
        <v>36866</v>
      </c>
      <c r="BY9" s="105">
        <v>222294</v>
      </c>
    </row>
    <row r="10" spans="1:77" ht="38.25" x14ac:dyDescent="0.25">
      <c r="A10" s="110" t="s">
        <v>86</v>
      </c>
      <c r="B10" s="13"/>
      <c r="C10" s="100" t="s">
        <v>98</v>
      </c>
      <c r="D10" s="100" t="s">
        <v>99</v>
      </c>
      <c r="E10" s="100" t="s">
        <v>100</v>
      </c>
      <c r="F10" s="100" t="s">
        <v>101</v>
      </c>
      <c r="G10" s="13"/>
      <c r="H10" s="100" t="s">
        <v>102</v>
      </c>
      <c r="I10" s="100" t="s">
        <v>103</v>
      </c>
      <c r="J10" s="100" t="s">
        <v>104</v>
      </c>
      <c r="K10" s="100" t="s">
        <v>101</v>
      </c>
      <c r="L10" s="13"/>
      <c r="M10" s="100" t="s">
        <v>105</v>
      </c>
      <c r="N10" s="100" t="s">
        <v>106</v>
      </c>
      <c r="O10" s="100" t="s">
        <v>107</v>
      </c>
      <c r="P10" s="100" t="s">
        <v>108</v>
      </c>
      <c r="Q10" s="13"/>
      <c r="R10" s="100" t="s">
        <v>109</v>
      </c>
      <c r="S10" s="100" t="s">
        <v>110</v>
      </c>
      <c r="T10" s="100" t="s">
        <v>111</v>
      </c>
      <c r="U10" s="100" t="s">
        <v>108</v>
      </c>
      <c r="V10" s="13"/>
      <c r="W10" s="100" t="s">
        <v>112</v>
      </c>
      <c r="X10" s="100" t="s">
        <v>113</v>
      </c>
      <c r="Y10" s="100" t="s">
        <v>114</v>
      </c>
      <c r="Z10" s="100" t="s">
        <v>115</v>
      </c>
      <c r="AA10" s="13"/>
      <c r="AB10" s="111" t="s">
        <v>136</v>
      </c>
      <c r="AC10" s="111" t="s">
        <v>137</v>
      </c>
      <c r="AD10" s="111" t="s">
        <v>138</v>
      </c>
      <c r="AE10" s="111" t="s">
        <v>139</v>
      </c>
      <c r="AF10" s="34"/>
      <c r="AG10" s="111" t="s">
        <v>140</v>
      </c>
      <c r="AH10" s="111" t="s">
        <v>141</v>
      </c>
      <c r="AI10" s="111" t="s">
        <v>142</v>
      </c>
      <c r="AJ10" s="111" t="s">
        <v>139</v>
      </c>
      <c r="AK10" s="102"/>
      <c r="AL10" s="111" t="s">
        <v>120</v>
      </c>
      <c r="AM10" s="111" t="s">
        <v>121</v>
      </c>
      <c r="AN10" s="111" t="s">
        <v>122</v>
      </c>
      <c r="AO10" s="111" t="s">
        <v>143</v>
      </c>
      <c r="AQ10" s="111" t="s">
        <v>144</v>
      </c>
      <c r="AR10" s="111" t="s">
        <v>145</v>
      </c>
      <c r="AS10" s="111" t="s">
        <v>146</v>
      </c>
      <c r="AT10" s="111" t="s">
        <v>143</v>
      </c>
      <c r="AV10" s="111" t="s">
        <v>147</v>
      </c>
      <c r="AW10" s="111" t="s">
        <v>148</v>
      </c>
      <c r="AX10" s="111" t="s">
        <v>149</v>
      </c>
      <c r="AY10" s="111" t="s">
        <v>150</v>
      </c>
      <c r="AZ10" s="13"/>
      <c r="BA10" s="111" t="s">
        <v>151</v>
      </c>
      <c r="BB10" s="111" t="s">
        <v>152</v>
      </c>
      <c r="BC10" s="111" t="s">
        <v>153</v>
      </c>
      <c r="BD10" s="111" t="s">
        <v>150</v>
      </c>
      <c r="BE10" s="13"/>
      <c r="BF10" s="111" t="s">
        <v>154</v>
      </c>
      <c r="BG10" s="111" t="s">
        <v>155</v>
      </c>
      <c r="BH10" s="111" t="s">
        <v>156</v>
      </c>
      <c r="BI10" s="111" t="s">
        <v>157</v>
      </c>
      <c r="BJ10" s="13"/>
      <c r="BK10" s="25" t="s">
        <v>134</v>
      </c>
      <c r="BL10" s="112">
        <v>261063</v>
      </c>
      <c r="BM10" s="112">
        <v>22158</v>
      </c>
      <c r="BN10" s="112">
        <v>15473</v>
      </c>
      <c r="BO10" s="112">
        <v>191933</v>
      </c>
      <c r="BP10" s="13"/>
      <c r="BQ10" s="112">
        <v>203834</v>
      </c>
      <c r="BR10" s="112">
        <v>22996</v>
      </c>
      <c r="BS10" s="112">
        <v>17890</v>
      </c>
      <c r="BT10" s="112">
        <v>160564</v>
      </c>
      <c r="BU10" s="13"/>
      <c r="BV10" s="112">
        <v>125080</v>
      </c>
      <c r="BW10" s="112">
        <v>11886</v>
      </c>
      <c r="BX10" s="112">
        <v>8501</v>
      </c>
      <c r="BY10" s="112">
        <v>182892</v>
      </c>
    </row>
    <row r="11" spans="1:77" x14ac:dyDescent="0.25">
      <c r="A11" s="14" t="s">
        <v>128</v>
      </c>
      <c r="B11" s="13"/>
      <c r="C11" s="105">
        <v>874814</v>
      </c>
      <c r="D11" s="105">
        <v>-23232</v>
      </c>
      <c r="E11" s="105">
        <v>-107579</v>
      </c>
      <c r="F11" s="105">
        <v>1657407</v>
      </c>
      <c r="G11" s="13"/>
      <c r="H11" s="105">
        <v>332863</v>
      </c>
      <c r="I11" s="105">
        <v>134670</v>
      </c>
      <c r="J11" s="105">
        <v>106686</v>
      </c>
      <c r="K11" s="105">
        <v>1657407</v>
      </c>
      <c r="L11" s="13"/>
      <c r="M11" s="105">
        <v>541951</v>
      </c>
      <c r="N11" s="105">
        <v>-157902</v>
      </c>
      <c r="O11" s="105">
        <v>-214265</v>
      </c>
      <c r="P11" s="105">
        <v>1657407</v>
      </c>
      <c r="Q11" s="13"/>
      <c r="R11" s="105">
        <v>273192</v>
      </c>
      <c r="S11" s="105">
        <v>-113811</v>
      </c>
      <c r="T11" s="105">
        <v>-142220</v>
      </c>
      <c r="U11" s="105">
        <v>1657407</v>
      </c>
      <c r="V11" s="13"/>
      <c r="W11" s="105">
        <v>268759</v>
      </c>
      <c r="X11" s="105">
        <v>-44091</v>
      </c>
      <c r="Y11" s="105">
        <v>-72045</v>
      </c>
      <c r="Z11" s="105">
        <v>1657407</v>
      </c>
      <c r="AA11" s="13"/>
      <c r="AB11" s="105">
        <v>1194024</v>
      </c>
      <c r="AC11" s="105">
        <v>98420</v>
      </c>
      <c r="AD11" s="105">
        <v>-6829</v>
      </c>
      <c r="AE11" s="105">
        <v>1742510</v>
      </c>
      <c r="AF11" s="20"/>
      <c r="AG11" s="105">
        <v>323181</v>
      </c>
      <c r="AH11" s="105">
        <v>14867</v>
      </c>
      <c r="AI11" s="105">
        <v>-12176</v>
      </c>
      <c r="AJ11" s="105">
        <v>1742510</v>
      </c>
      <c r="AK11" s="20"/>
      <c r="AL11" s="105">
        <v>870843</v>
      </c>
      <c r="AM11" s="105">
        <v>83553</v>
      </c>
      <c r="AN11" s="105">
        <v>5347</v>
      </c>
      <c r="AO11" s="105">
        <v>1742510</v>
      </c>
      <c r="AQ11" s="105">
        <v>341431</v>
      </c>
      <c r="AR11" s="105">
        <v>55252</v>
      </c>
      <c r="AS11" s="105">
        <v>29132</v>
      </c>
      <c r="AT11" s="105">
        <v>1742510</v>
      </c>
      <c r="AV11" s="105">
        <v>529412</v>
      </c>
      <c r="AW11" s="105">
        <v>28174</v>
      </c>
      <c r="AX11" s="105">
        <v>-23785</v>
      </c>
      <c r="AY11" s="105">
        <v>1742510</v>
      </c>
      <c r="AZ11" s="13"/>
      <c r="BA11" s="105">
        <v>281247</v>
      </c>
      <c r="BB11" s="105">
        <v>8471</v>
      </c>
      <c r="BC11" s="105">
        <v>-16826</v>
      </c>
      <c r="BD11" s="105">
        <v>1742510</v>
      </c>
      <c r="BE11" s="13"/>
      <c r="BF11" s="105">
        <v>248165</v>
      </c>
      <c r="BG11" s="105">
        <v>19703</v>
      </c>
      <c r="BH11" s="105">
        <v>-6959</v>
      </c>
      <c r="BI11" s="105">
        <v>1742510</v>
      </c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</row>
    <row r="12" spans="1:77" x14ac:dyDescent="0.25">
      <c r="A12" s="20" t="s">
        <v>129</v>
      </c>
      <c r="B12" s="13"/>
      <c r="C12" s="105">
        <v>3911459</v>
      </c>
      <c r="D12" s="105">
        <v>564039</v>
      </c>
      <c r="E12" s="105">
        <v>130489</v>
      </c>
      <c r="F12" s="105">
        <v>10788413</v>
      </c>
      <c r="G12" s="13"/>
      <c r="H12" s="105">
        <v>1164371</v>
      </c>
      <c r="I12" s="105">
        <v>97637</v>
      </c>
      <c r="J12" s="105">
        <v>-51447</v>
      </c>
      <c r="K12" s="105">
        <v>10788413</v>
      </c>
      <c r="L12" s="13"/>
      <c r="M12" s="105">
        <v>2747088</v>
      </c>
      <c r="N12" s="105">
        <v>466402</v>
      </c>
      <c r="O12" s="105">
        <v>181936</v>
      </c>
      <c r="P12" s="105">
        <v>10788413</v>
      </c>
      <c r="Q12" s="13"/>
      <c r="R12" s="105">
        <v>1184017</v>
      </c>
      <c r="S12" s="105">
        <v>188031</v>
      </c>
      <c r="T12" s="105">
        <v>44376</v>
      </c>
      <c r="U12" s="105">
        <v>10788413</v>
      </c>
      <c r="V12" s="13"/>
      <c r="W12" s="105">
        <v>1563071</v>
      </c>
      <c r="X12" s="105">
        <v>278371</v>
      </c>
      <c r="Y12" s="105">
        <v>137560</v>
      </c>
      <c r="Z12" s="105">
        <v>10788413</v>
      </c>
      <c r="AA12" s="13"/>
      <c r="AB12" s="105">
        <v>4963651</v>
      </c>
      <c r="AC12" s="105">
        <v>792803</v>
      </c>
      <c r="AD12" s="105">
        <v>72093</v>
      </c>
      <c r="AE12" s="105">
        <v>13160048</v>
      </c>
      <c r="AF12" s="20"/>
      <c r="AG12" s="105">
        <v>1379772.8041700004</v>
      </c>
      <c r="AH12" s="105">
        <v>258487</v>
      </c>
      <c r="AI12" s="105">
        <v>72848</v>
      </c>
      <c r="AJ12" s="105">
        <v>13160048</v>
      </c>
      <c r="AK12" s="20"/>
      <c r="AL12" s="105">
        <v>3583878.1958299996</v>
      </c>
      <c r="AM12" s="105">
        <v>534316</v>
      </c>
      <c r="AN12" s="105">
        <v>-755</v>
      </c>
      <c r="AO12" s="105">
        <v>13160048</v>
      </c>
      <c r="AQ12" s="105">
        <v>1184469.1958299996</v>
      </c>
      <c r="AR12" s="105">
        <v>135550</v>
      </c>
      <c r="AS12" s="105">
        <v>-39176</v>
      </c>
      <c r="AT12" s="105">
        <v>13160048</v>
      </c>
      <c r="AV12" s="105">
        <v>2320273.9343399997</v>
      </c>
      <c r="AW12" s="105">
        <v>388933</v>
      </c>
      <c r="AX12" s="105">
        <v>38421</v>
      </c>
      <c r="AY12" s="105">
        <v>13160048</v>
      </c>
      <c r="AZ12" s="13"/>
      <c r="BA12" s="105">
        <v>1067907.9343399997</v>
      </c>
      <c r="BB12" s="105">
        <v>136494</v>
      </c>
      <c r="BC12" s="105">
        <v>-38190</v>
      </c>
      <c r="BD12" s="105">
        <v>13160048</v>
      </c>
      <c r="BE12" s="13"/>
      <c r="BF12" s="105">
        <v>1252366</v>
      </c>
      <c r="BG12" s="105">
        <v>252439</v>
      </c>
      <c r="BH12" s="105">
        <v>76611</v>
      </c>
      <c r="BI12" s="105">
        <v>13160048</v>
      </c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</row>
    <row r="13" spans="1:77" ht="15.75" customHeight="1" x14ac:dyDescent="0.25">
      <c r="A13" s="20" t="s">
        <v>130</v>
      </c>
      <c r="B13" s="13"/>
      <c r="C13" s="105">
        <v>4792875</v>
      </c>
      <c r="D13" s="105">
        <v>1839293</v>
      </c>
      <c r="E13" s="105">
        <v>1106723</v>
      </c>
      <c r="F13" s="105">
        <v>15974893</v>
      </c>
      <c r="G13" s="13"/>
      <c r="H13" s="105">
        <v>1564518</v>
      </c>
      <c r="I13" s="105">
        <v>596633</v>
      </c>
      <c r="J13" s="105">
        <v>348307</v>
      </c>
      <c r="K13" s="105">
        <v>15974893</v>
      </c>
      <c r="L13" s="13"/>
      <c r="M13" s="105">
        <v>3228357</v>
      </c>
      <c r="N13" s="105">
        <v>1242660</v>
      </c>
      <c r="O13" s="105">
        <v>758416</v>
      </c>
      <c r="P13" s="105">
        <v>15974893</v>
      </c>
      <c r="Q13" s="13"/>
      <c r="R13" s="105">
        <v>1585385</v>
      </c>
      <c r="S13" s="105">
        <v>696000</v>
      </c>
      <c r="T13" s="105">
        <v>453363</v>
      </c>
      <c r="U13" s="105">
        <v>15974893</v>
      </c>
      <c r="V13" s="13"/>
      <c r="W13" s="105">
        <v>1642972</v>
      </c>
      <c r="X13" s="105">
        <v>546660</v>
      </c>
      <c r="Y13" s="105">
        <v>305053</v>
      </c>
      <c r="Z13" s="105">
        <v>15974893</v>
      </c>
      <c r="AA13" s="13"/>
      <c r="AB13" s="105">
        <v>6074646</v>
      </c>
      <c r="AC13" s="105">
        <v>2172288</v>
      </c>
      <c r="AD13" s="105">
        <v>1209344</v>
      </c>
      <c r="AE13" s="105">
        <v>15012125</v>
      </c>
      <c r="AF13" s="20"/>
      <c r="AG13" s="105">
        <v>1545835</v>
      </c>
      <c r="AH13" s="105">
        <v>394396</v>
      </c>
      <c r="AI13" s="105">
        <v>138507</v>
      </c>
      <c r="AJ13" s="105">
        <v>15012125</v>
      </c>
      <c r="AK13" s="20"/>
      <c r="AL13" s="105">
        <v>4528811</v>
      </c>
      <c r="AM13" s="105">
        <v>1777892</v>
      </c>
      <c r="AN13" s="105">
        <v>1070837</v>
      </c>
      <c r="AO13" s="105">
        <v>15012125</v>
      </c>
      <c r="AQ13" s="105">
        <v>1479860</v>
      </c>
      <c r="AR13" s="105">
        <v>608152</v>
      </c>
      <c r="AS13" s="105">
        <v>370825</v>
      </c>
      <c r="AT13" s="105">
        <v>15012125</v>
      </c>
      <c r="AV13" s="105">
        <v>3048951</v>
      </c>
      <c r="AW13" s="105">
        <v>1169688</v>
      </c>
      <c r="AX13" s="105">
        <v>700012</v>
      </c>
      <c r="AY13" s="105">
        <v>15012125</v>
      </c>
      <c r="AZ13" s="13"/>
      <c r="BA13" s="105">
        <v>1490614</v>
      </c>
      <c r="BB13" s="105">
        <v>612000</v>
      </c>
      <c r="BC13" s="105">
        <v>376007</v>
      </c>
      <c r="BD13" s="105">
        <v>15012125</v>
      </c>
      <c r="BE13" s="13"/>
      <c r="BF13" s="105">
        <v>1558337</v>
      </c>
      <c r="BG13" s="105">
        <v>557688</v>
      </c>
      <c r="BH13" s="105">
        <v>324005</v>
      </c>
      <c r="BI13" s="105">
        <v>15012125</v>
      </c>
      <c r="BJ13" s="13"/>
      <c r="BK13" s="110" t="s">
        <v>86</v>
      </c>
      <c r="BL13" s="111" t="s">
        <v>158</v>
      </c>
      <c r="BM13" s="111" t="s">
        <v>159</v>
      </c>
      <c r="BN13" s="111" t="s">
        <v>160</v>
      </c>
      <c r="BO13" s="111" t="s">
        <v>161</v>
      </c>
      <c r="BP13" s="13"/>
      <c r="BQ13" s="111" t="s">
        <v>162</v>
      </c>
      <c r="BR13" s="111" t="s">
        <v>163</v>
      </c>
      <c r="BS13" s="111" t="s">
        <v>164</v>
      </c>
      <c r="BT13" s="111" t="s">
        <v>165</v>
      </c>
      <c r="BU13" s="13"/>
      <c r="BV13" s="111" t="s">
        <v>166</v>
      </c>
      <c r="BW13" s="111" t="s">
        <v>167</v>
      </c>
      <c r="BX13" s="111" t="s">
        <v>168</v>
      </c>
      <c r="BY13" s="111" t="s">
        <v>169</v>
      </c>
    </row>
    <row r="14" spans="1:77" x14ac:dyDescent="0.25">
      <c r="A14" s="20" t="s">
        <v>132</v>
      </c>
      <c r="B14" s="13"/>
      <c r="C14" s="105">
        <v>11813153</v>
      </c>
      <c r="D14" s="105">
        <v>451935</v>
      </c>
      <c r="E14" s="105">
        <v>443797</v>
      </c>
      <c r="F14" s="105">
        <v>2706907</v>
      </c>
      <c r="G14" s="13"/>
      <c r="H14" s="105">
        <v>3719173</v>
      </c>
      <c r="I14" s="105">
        <v>116782</v>
      </c>
      <c r="J14" s="105">
        <v>114042</v>
      </c>
      <c r="K14" s="105">
        <v>2706907</v>
      </c>
      <c r="L14" s="13"/>
      <c r="M14" s="105">
        <v>8093980</v>
      </c>
      <c r="N14" s="105">
        <v>335153</v>
      </c>
      <c r="O14" s="105">
        <v>329755</v>
      </c>
      <c r="P14" s="105">
        <v>2706907</v>
      </c>
      <c r="Q14" s="13"/>
      <c r="R14" s="105">
        <v>3915698</v>
      </c>
      <c r="S14" s="105">
        <v>141382</v>
      </c>
      <c r="T14" s="105">
        <v>138710</v>
      </c>
      <c r="U14" s="105">
        <v>2706907</v>
      </c>
      <c r="V14" s="13"/>
      <c r="W14" s="105">
        <v>4178282</v>
      </c>
      <c r="X14" s="105">
        <v>193771</v>
      </c>
      <c r="Y14" s="105">
        <v>191045</v>
      </c>
      <c r="Z14" s="105">
        <v>2706907</v>
      </c>
      <c r="AA14" s="13"/>
      <c r="AB14" s="105">
        <v>15277451</v>
      </c>
      <c r="AC14" s="105">
        <v>608213</v>
      </c>
      <c r="AD14" s="105">
        <v>582307</v>
      </c>
      <c r="AE14" s="105">
        <v>3715551</v>
      </c>
      <c r="AF14" s="20"/>
      <c r="AG14" s="105">
        <v>4010459</v>
      </c>
      <c r="AH14" s="105">
        <v>106749</v>
      </c>
      <c r="AI14" s="105">
        <v>103508</v>
      </c>
      <c r="AJ14" s="105">
        <v>3715551</v>
      </c>
      <c r="AK14" s="20"/>
      <c r="AL14" s="105">
        <v>11266992</v>
      </c>
      <c r="AM14" s="105">
        <v>501464</v>
      </c>
      <c r="AN14" s="105">
        <v>478799</v>
      </c>
      <c r="AO14" s="105">
        <v>3715551</v>
      </c>
      <c r="AQ14" s="105">
        <v>3691883</v>
      </c>
      <c r="AR14" s="105">
        <v>109830</v>
      </c>
      <c r="AS14" s="105">
        <v>105291</v>
      </c>
      <c r="AT14" s="105">
        <v>3715551</v>
      </c>
      <c r="AV14" s="105">
        <v>7575109</v>
      </c>
      <c r="AW14" s="105">
        <v>391634</v>
      </c>
      <c r="AX14" s="105">
        <v>373508</v>
      </c>
      <c r="AY14" s="105">
        <v>3715551</v>
      </c>
      <c r="AZ14" s="13"/>
      <c r="BA14" s="105">
        <v>3479108</v>
      </c>
      <c r="BB14" s="105">
        <v>153290</v>
      </c>
      <c r="BC14" s="105">
        <v>144543</v>
      </c>
      <c r="BD14" s="105">
        <v>3715551</v>
      </c>
      <c r="BE14" s="13"/>
      <c r="BF14" s="105">
        <v>4096001</v>
      </c>
      <c r="BG14" s="105">
        <v>238344</v>
      </c>
      <c r="BH14" s="105">
        <v>228965</v>
      </c>
      <c r="BI14" s="105">
        <v>3715551</v>
      </c>
      <c r="BJ14" s="13"/>
      <c r="BK14" s="14" t="s">
        <v>128</v>
      </c>
      <c r="BL14" s="106">
        <v>1397506</v>
      </c>
      <c r="BM14" s="106">
        <v>165783</v>
      </c>
      <c r="BN14" s="106">
        <v>65786</v>
      </c>
      <c r="BO14" s="106">
        <v>1465831</v>
      </c>
      <c r="BP14" s="13"/>
      <c r="BQ14" s="106">
        <v>1092570</v>
      </c>
      <c r="BR14" s="106">
        <v>168014</v>
      </c>
      <c r="BS14" s="106">
        <v>88794</v>
      </c>
      <c r="BT14" s="106">
        <v>1465831</v>
      </c>
      <c r="BU14" s="13"/>
      <c r="BV14" s="106">
        <v>748322</v>
      </c>
      <c r="BW14" s="106">
        <v>137404</v>
      </c>
      <c r="BX14" s="106">
        <v>84452</v>
      </c>
      <c r="BY14" s="106">
        <v>1465831</v>
      </c>
    </row>
    <row r="15" spans="1:77" x14ac:dyDescent="0.25">
      <c r="A15" s="25" t="s">
        <v>134</v>
      </c>
      <c r="B15" s="13"/>
      <c r="C15" s="109">
        <v>702794</v>
      </c>
      <c r="D15" s="109">
        <v>98183</v>
      </c>
      <c r="E15" s="109">
        <v>47972</v>
      </c>
      <c r="F15" s="109">
        <v>478618</v>
      </c>
      <c r="G15" s="13"/>
      <c r="H15" s="109">
        <v>199648</v>
      </c>
      <c r="I15" s="109">
        <v>37188</v>
      </c>
      <c r="J15" s="109">
        <v>20076</v>
      </c>
      <c r="K15" s="109">
        <v>478618</v>
      </c>
      <c r="L15" s="13"/>
      <c r="M15" s="109">
        <v>503146</v>
      </c>
      <c r="N15" s="109">
        <v>60995</v>
      </c>
      <c r="O15" s="109">
        <v>27896</v>
      </c>
      <c r="P15" s="109">
        <v>478618</v>
      </c>
      <c r="Q15" s="13"/>
      <c r="R15" s="109">
        <v>239006</v>
      </c>
      <c r="S15" s="109">
        <v>17622</v>
      </c>
      <c r="T15" s="109">
        <v>789</v>
      </c>
      <c r="U15" s="109">
        <v>478618</v>
      </c>
      <c r="V15" s="13"/>
      <c r="W15" s="109">
        <v>264140</v>
      </c>
      <c r="X15" s="109">
        <v>43373</v>
      </c>
      <c r="Y15" s="109">
        <v>27107</v>
      </c>
      <c r="Z15" s="109">
        <v>478618</v>
      </c>
      <c r="AA15" s="13"/>
      <c r="AB15" s="109">
        <v>870035</v>
      </c>
      <c r="AC15" s="109">
        <v>106215</v>
      </c>
      <c r="AD15" s="109">
        <v>56593</v>
      </c>
      <c r="AE15" s="109">
        <v>459596</v>
      </c>
      <c r="AF15" s="20"/>
      <c r="AG15" s="109">
        <v>210812.29391999985</v>
      </c>
      <c r="AH15" s="109">
        <v>-3324</v>
      </c>
      <c r="AI15" s="109">
        <v>-17508</v>
      </c>
      <c r="AJ15" s="109">
        <v>459596</v>
      </c>
      <c r="AK15" s="20"/>
      <c r="AL15" s="109">
        <v>659222.70608000015</v>
      </c>
      <c r="AM15" s="109">
        <v>109539</v>
      </c>
      <c r="AN15" s="109">
        <v>74101</v>
      </c>
      <c r="AO15" s="109">
        <v>459596</v>
      </c>
      <c r="AQ15" s="109">
        <v>233888.70608000015</v>
      </c>
      <c r="AR15" s="109">
        <v>42296</v>
      </c>
      <c r="AS15" s="109">
        <v>28734</v>
      </c>
      <c r="AT15" s="109">
        <v>459596</v>
      </c>
      <c r="AV15" s="109">
        <v>425334.29366000002</v>
      </c>
      <c r="AW15" s="109">
        <v>67238</v>
      </c>
      <c r="AX15" s="109">
        <v>45367</v>
      </c>
      <c r="AY15" s="109">
        <v>459596</v>
      </c>
      <c r="AZ15" s="13"/>
      <c r="BA15" s="109">
        <v>195771.29366000002</v>
      </c>
      <c r="BB15" s="109">
        <v>22700</v>
      </c>
      <c r="BC15" s="109">
        <v>11051</v>
      </c>
      <c r="BD15" s="109">
        <v>459596</v>
      </c>
      <c r="BE15" s="13"/>
      <c r="BF15" s="109">
        <v>229563</v>
      </c>
      <c r="BG15" s="109">
        <v>44538</v>
      </c>
      <c r="BH15" s="109">
        <v>34316</v>
      </c>
      <c r="BI15" s="109">
        <v>459596</v>
      </c>
      <c r="BJ15" s="13"/>
      <c r="BK15" s="20" t="s">
        <v>129</v>
      </c>
      <c r="BL15" s="105">
        <v>4574265</v>
      </c>
      <c r="BM15" s="105">
        <v>28852</v>
      </c>
      <c r="BN15" s="105">
        <v>-458954</v>
      </c>
      <c r="BO15" s="107">
        <v>8646833</v>
      </c>
      <c r="BP15" s="13"/>
      <c r="BQ15" s="105">
        <v>3339570</v>
      </c>
      <c r="BR15" s="105">
        <v>117195</v>
      </c>
      <c r="BS15" s="105">
        <v>-254167</v>
      </c>
      <c r="BT15" s="107">
        <v>8646833</v>
      </c>
      <c r="BU15" s="13"/>
      <c r="BV15" s="105">
        <v>2270136</v>
      </c>
      <c r="BW15" s="105">
        <v>28139</v>
      </c>
      <c r="BX15" s="105">
        <v>-230592</v>
      </c>
      <c r="BY15" s="107">
        <v>8646833</v>
      </c>
    </row>
    <row r="16" spans="1:77" x14ac:dyDescent="0.25">
      <c r="B16" s="13"/>
      <c r="G16" s="13"/>
      <c r="L16" s="13"/>
      <c r="Q16" s="13"/>
      <c r="V16" s="13"/>
      <c r="W16" s="13"/>
      <c r="X16" s="13"/>
      <c r="Y16" s="13"/>
      <c r="Z16" s="13"/>
      <c r="AA16" s="13"/>
      <c r="AF16" s="34"/>
      <c r="AK16" s="34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20" t="s">
        <v>131</v>
      </c>
      <c r="BL16" s="105">
        <v>204495</v>
      </c>
      <c r="BM16" s="105">
        <v>135563</v>
      </c>
      <c r="BN16" s="105">
        <v>92978</v>
      </c>
      <c r="BO16" s="107">
        <v>1944940</v>
      </c>
      <c r="BP16" s="13"/>
      <c r="BQ16" s="105">
        <v>128900</v>
      </c>
      <c r="BR16" s="105">
        <v>83842</v>
      </c>
      <c r="BS16" s="105">
        <v>56875</v>
      </c>
      <c r="BT16" s="107">
        <v>1944940</v>
      </c>
      <c r="BU16" s="13"/>
      <c r="BV16" s="105">
        <v>92455</v>
      </c>
      <c r="BW16" s="105">
        <v>62060</v>
      </c>
      <c r="BX16" s="105">
        <v>43969</v>
      </c>
      <c r="BY16" s="107">
        <v>1944940</v>
      </c>
    </row>
    <row r="17" spans="2:77" x14ac:dyDescent="0.25">
      <c r="B17" s="13"/>
      <c r="G17" s="13"/>
      <c r="L17" s="13"/>
      <c r="Q17" s="13"/>
      <c r="V17" s="13"/>
      <c r="W17" s="13"/>
      <c r="X17" s="13"/>
      <c r="Y17" s="13"/>
      <c r="Z17" s="13"/>
      <c r="AA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20" t="s">
        <v>133</v>
      </c>
      <c r="BL17" s="105">
        <v>1337722</v>
      </c>
      <c r="BM17" s="105">
        <v>235453</v>
      </c>
      <c r="BN17" s="105">
        <v>110909</v>
      </c>
      <c r="BO17" s="105">
        <v>2169616</v>
      </c>
      <c r="BP17" s="13"/>
      <c r="BQ17" s="105">
        <v>925675</v>
      </c>
      <c r="BR17" s="105">
        <v>164893</v>
      </c>
      <c r="BS17" s="105">
        <v>76101</v>
      </c>
      <c r="BT17" s="105">
        <v>2169616</v>
      </c>
      <c r="BU17" s="13"/>
      <c r="BV17" s="105">
        <v>716398</v>
      </c>
      <c r="BW17" s="105">
        <v>132718</v>
      </c>
      <c r="BX17" s="105">
        <v>74944</v>
      </c>
      <c r="BY17" s="105">
        <v>2169616</v>
      </c>
    </row>
    <row r="18" spans="2:77" x14ac:dyDescent="0.25">
      <c r="B18" s="13"/>
      <c r="G18" s="13"/>
      <c r="L18" s="13"/>
      <c r="Q18" s="13"/>
      <c r="V18" s="13"/>
      <c r="W18" s="13"/>
      <c r="X18" s="13"/>
      <c r="Y18" s="13"/>
      <c r="Z18" s="13"/>
      <c r="AA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20" t="s">
        <v>130</v>
      </c>
      <c r="BL18" s="105">
        <v>5997470</v>
      </c>
      <c r="BM18" s="105">
        <v>2208381</v>
      </c>
      <c r="BN18" s="105">
        <v>1295639</v>
      </c>
      <c r="BO18" s="107">
        <v>14002290</v>
      </c>
      <c r="BP18" s="13"/>
      <c r="BQ18" s="105">
        <v>4451191</v>
      </c>
      <c r="BR18" s="105">
        <v>1700695</v>
      </c>
      <c r="BS18" s="105">
        <v>1024329</v>
      </c>
      <c r="BT18" s="107">
        <v>14002290</v>
      </c>
      <c r="BU18" s="13"/>
      <c r="BV18" s="105">
        <v>3010804</v>
      </c>
      <c r="BW18" s="105">
        <v>1104102</v>
      </c>
      <c r="BX18" s="105">
        <v>656155</v>
      </c>
      <c r="BY18" s="107">
        <v>14002290</v>
      </c>
    </row>
    <row r="19" spans="2:77" x14ac:dyDescent="0.25">
      <c r="B19" s="13"/>
      <c r="G19" s="13"/>
      <c r="L19" s="13"/>
      <c r="Q19" s="13"/>
      <c r="V19" s="13"/>
      <c r="W19" s="13"/>
      <c r="X19" s="13"/>
      <c r="Y19" s="13"/>
      <c r="Z19" s="13"/>
      <c r="AA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20" t="s">
        <v>132</v>
      </c>
      <c r="BL19" s="105">
        <v>18017593</v>
      </c>
      <c r="BM19" s="105">
        <v>899208</v>
      </c>
      <c r="BN19" s="105">
        <v>864579</v>
      </c>
      <c r="BO19" s="107">
        <v>3111539</v>
      </c>
      <c r="BP19" s="13"/>
      <c r="BQ19" s="105">
        <v>13301459</v>
      </c>
      <c r="BR19" s="105">
        <v>747154</v>
      </c>
      <c r="BS19" s="105">
        <v>721007</v>
      </c>
      <c r="BT19" s="107">
        <v>3111539</v>
      </c>
      <c r="BU19" s="13"/>
      <c r="BV19" s="105">
        <v>8993554</v>
      </c>
      <c r="BW19" s="105">
        <v>595731</v>
      </c>
      <c r="BX19" s="105">
        <v>578520</v>
      </c>
      <c r="BY19" s="107">
        <v>3111539</v>
      </c>
    </row>
    <row r="20" spans="2:77" x14ac:dyDescent="0.25">
      <c r="B20" s="13"/>
      <c r="G20" s="13"/>
      <c r="L20" s="13"/>
      <c r="Q20" s="13"/>
      <c r="V20" s="13"/>
      <c r="W20" s="13"/>
      <c r="X20" s="13"/>
      <c r="Y20" s="13"/>
      <c r="Z20" s="13"/>
      <c r="AA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20" t="s">
        <v>135</v>
      </c>
      <c r="BL20" s="105">
        <v>492583</v>
      </c>
      <c r="BM20" s="105">
        <v>45283</v>
      </c>
      <c r="BN20" s="105">
        <v>26837</v>
      </c>
      <c r="BO20" s="105">
        <v>183519</v>
      </c>
      <c r="BP20" s="13"/>
      <c r="BQ20" s="105">
        <v>374979</v>
      </c>
      <c r="BR20" s="105">
        <v>71552</v>
      </c>
      <c r="BS20" s="105">
        <v>59678</v>
      </c>
      <c r="BT20" s="105">
        <v>183519</v>
      </c>
      <c r="BU20" s="13"/>
      <c r="BV20" s="105">
        <v>235207</v>
      </c>
      <c r="BW20" s="105">
        <v>33659</v>
      </c>
      <c r="BX20" s="105">
        <v>26904</v>
      </c>
      <c r="BY20" s="105">
        <v>183519</v>
      </c>
    </row>
    <row r="21" spans="2:77" x14ac:dyDescent="0.25">
      <c r="B21" s="13"/>
      <c r="G21" s="13"/>
      <c r="L21" s="13"/>
      <c r="Q21" s="13"/>
      <c r="V21" s="13"/>
      <c r="W21" s="13"/>
      <c r="X21" s="13"/>
      <c r="Y21" s="13"/>
      <c r="Z21" s="13"/>
      <c r="AA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25" t="s">
        <v>134</v>
      </c>
      <c r="BL21" s="112">
        <v>310212</v>
      </c>
      <c r="BM21" s="112">
        <v>17485</v>
      </c>
      <c r="BN21" s="112">
        <v>10816</v>
      </c>
      <c r="BO21" s="112">
        <v>170774</v>
      </c>
      <c r="BP21" s="13"/>
      <c r="BQ21" s="112">
        <v>233119</v>
      </c>
      <c r="BR21" s="112">
        <v>14099</v>
      </c>
      <c r="BS21" s="112">
        <v>7486</v>
      </c>
      <c r="BT21" s="112">
        <v>170774</v>
      </c>
      <c r="BU21" s="13"/>
      <c r="BV21" s="112">
        <v>165982</v>
      </c>
      <c r="BW21" s="112">
        <v>6191</v>
      </c>
      <c r="BX21" s="112">
        <v>1763</v>
      </c>
      <c r="BY21" s="112">
        <v>170774</v>
      </c>
    </row>
    <row r="22" spans="2:77" x14ac:dyDescent="0.25">
      <c r="B22" s="13"/>
      <c r="G22" s="13"/>
      <c r="L22" s="13"/>
      <c r="Q22" s="13"/>
      <c r="V22" s="13"/>
      <c r="W22" s="13"/>
      <c r="X22" s="13"/>
      <c r="Y22" s="13"/>
      <c r="Z22" s="13"/>
      <c r="AA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</row>
    <row r="23" spans="2:77" x14ac:dyDescent="0.25">
      <c r="B23" s="13"/>
      <c r="G23" s="13"/>
      <c r="L23" s="13"/>
      <c r="Q23" s="13"/>
      <c r="V23" s="13"/>
      <c r="W23" s="13"/>
      <c r="X23" s="13"/>
      <c r="Y23" s="13"/>
      <c r="Z23" s="13"/>
      <c r="AA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</row>
    <row r="24" spans="2:77" x14ac:dyDescent="0.25">
      <c r="B24" s="13"/>
      <c r="G24" s="13"/>
      <c r="L24" s="13"/>
      <c r="Q24" s="13"/>
      <c r="V24" s="13"/>
      <c r="W24" s="13"/>
      <c r="X24" s="13"/>
      <c r="Y24" s="13"/>
      <c r="Z24" s="13"/>
      <c r="AA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</row>
    <row r="25" spans="2:77" ht="38.25" x14ac:dyDescent="0.25">
      <c r="B25" s="13"/>
      <c r="G25" s="13"/>
      <c r="L25" s="13"/>
      <c r="Q25" s="13"/>
      <c r="V25" s="13"/>
      <c r="W25" s="13"/>
      <c r="X25" s="13"/>
      <c r="Y25" s="13"/>
      <c r="Z25" s="13"/>
      <c r="AA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10" t="s">
        <v>86</v>
      </c>
      <c r="BL25" s="111" t="s">
        <v>170</v>
      </c>
      <c r="BM25" s="111" t="s">
        <v>171</v>
      </c>
      <c r="BN25" s="111" t="s">
        <v>172</v>
      </c>
      <c r="BO25" s="111" t="s">
        <v>119</v>
      </c>
      <c r="BP25" s="13"/>
      <c r="BQ25" s="111" t="s">
        <v>173</v>
      </c>
      <c r="BR25" s="111" t="s">
        <v>174</v>
      </c>
      <c r="BS25" s="111" t="s">
        <v>175</v>
      </c>
      <c r="BT25" s="111" t="s">
        <v>123</v>
      </c>
      <c r="BU25" s="13"/>
      <c r="BV25" s="111" t="s">
        <v>176</v>
      </c>
      <c r="BW25" s="111" t="s">
        <v>177</v>
      </c>
      <c r="BX25" s="111" t="s">
        <v>178</v>
      </c>
      <c r="BY25" s="111" t="s">
        <v>127</v>
      </c>
    </row>
    <row r="26" spans="2:77" x14ac:dyDescent="0.25">
      <c r="B26" s="13"/>
      <c r="G26" s="13"/>
      <c r="L26" s="13"/>
      <c r="Q26" s="13"/>
      <c r="V26" s="13"/>
      <c r="W26" s="13"/>
      <c r="X26" s="13"/>
      <c r="Y26" s="13"/>
      <c r="Z26" s="13"/>
      <c r="AA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4" t="s">
        <v>128</v>
      </c>
      <c r="BL26" s="106">
        <v>323181</v>
      </c>
      <c r="BM26" s="106">
        <v>14932</v>
      </c>
      <c r="BN26" s="106">
        <v>-12176</v>
      </c>
      <c r="BO26" s="106">
        <v>1742510</v>
      </c>
      <c r="BP26" s="13"/>
      <c r="BQ26" s="106">
        <v>341431</v>
      </c>
      <c r="BR26" s="106">
        <v>55306</v>
      </c>
      <c r="BS26" s="106">
        <v>29132</v>
      </c>
      <c r="BT26" s="106">
        <v>1666780</v>
      </c>
      <c r="BU26" s="13"/>
      <c r="BV26" s="106">
        <v>281247</v>
      </c>
      <c r="BW26" s="106">
        <v>8471</v>
      </c>
      <c r="BX26" s="106">
        <v>-16826</v>
      </c>
      <c r="BY26" s="106">
        <v>1640587</v>
      </c>
    </row>
    <row r="27" spans="2:77" x14ac:dyDescent="0.25">
      <c r="B27" s="13"/>
      <c r="G27" s="13"/>
      <c r="L27" s="13"/>
      <c r="Q27" s="13"/>
      <c r="V27" s="13"/>
      <c r="W27" s="13"/>
      <c r="X27" s="13"/>
      <c r="Y27" s="13"/>
      <c r="Z27" s="13"/>
      <c r="AA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20" t="s">
        <v>129</v>
      </c>
      <c r="BL27" s="105">
        <v>913384</v>
      </c>
      <c r="BM27" s="105">
        <v>51694</v>
      </c>
      <c r="BN27" s="105">
        <v>-34993</v>
      </c>
      <c r="BO27" s="107">
        <v>8393127</v>
      </c>
      <c r="BP27" s="13"/>
      <c r="BQ27" s="105">
        <v>832114</v>
      </c>
      <c r="BR27" s="105">
        <v>73153</v>
      </c>
      <c r="BS27" s="105">
        <v>-43546</v>
      </c>
      <c r="BT27" s="107">
        <v>7636136</v>
      </c>
      <c r="BU27" s="13"/>
      <c r="BV27" s="105">
        <v>716925</v>
      </c>
      <c r="BW27" s="105">
        <v>59507</v>
      </c>
      <c r="BX27" s="105">
        <v>-58572</v>
      </c>
      <c r="BY27" s="107">
        <v>7741435</v>
      </c>
    </row>
    <row r="28" spans="2:77" x14ac:dyDescent="0.25">
      <c r="B28" s="13"/>
      <c r="G28" s="13"/>
      <c r="L28" s="13"/>
      <c r="Q28" s="13"/>
      <c r="V28" s="13"/>
      <c r="W28" s="13"/>
      <c r="X28" s="13"/>
      <c r="Y28" s="13"/>
      <c r="Z28" s="13"/>
      <c r="AA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20" t="s">
        <v>131</v>
      </c>
      <c r="BL28" s="105">
        <v>65019</v>
      </c>
      <c r="BM28" s="105">
        <v>37748</v>
      </c>
      <c r="BN28" s="105">
        <v>20234</v>
      </c>
      <c r="BO28" s="107">
        <v>1985920</v>
      </c>
      <c r="BP28" s="13"/>
      <c r="BQ28" s="105">
        <v>71079</v>
      </c>
      <c r="BR28" s="105">
        <v>45702</v>
      </c>
      <c r="BS28" s="105">
        <v>25694</v>
      </c>
      <c r="BT28" s="107">
        <v>1929270</v>
      </c>
      <c r="BU28" s="13"/>
      <c r="BV28" s="105">
        <v>64784</v>
      </c>
      <c r="BW28" s="105">
        <v>40730</v>
      </c>
      <c r="BX28" s="105">
        <v>20707</v>
      </c>
      <c r="BY28" s="107">
        <v>1929486</v>
      </c>
    </row>
    <row r="29" spans="2:77" x14ac:dyDescent="0.25">
      <c r="B29" s="13"/>
      <c r="G29" s="13"/>
      <c r="L29" s="13"/>
      <c r="Q29" s="13"/>
      <c r="V29" s="13"/>
      <c r="W29" s="13"/>
      <c r="X29" s="13"/>
      <c r="Y29" s="13"/>
      <c r="Z29" s="13"/>
      <c r="AA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20" t="s">
        <v>133</v>
      </c>
      <c r="BL29" s="105">
        <v>388456</v>
      </c>
      <c r="BM29" s="105">
        <v>126605</v>
      </c>
      <c r="BN29" s="105">
        <v>87607</v>
      </c>
      <c r="BO29" s="105">
        <v>2781001</v>
      </c>
      <c r="BP29" s="13"/>
      <c r="BQ29" s="105">
        <v>249121</v>
      </c>
      <c r="BR29" s="105">
        <v>16576</v>
      </c>
      <c r="BS29" s="105">
        <v>-21324</v>
      </c>
      <c r="BT29" s="105">
        <v>3101958</v>
      </c>
      <c r="BU29" s="13"/>
      <c r="BV29" s="105">
        <v>291077</v>
      </c>
      <c r="BW29" s="105">
        <v>36257</v>
      </c>
      <c r="BX29" s="105">
        <v>-325</v>
      </c>
      <c r="BY29" s="105">
        <v>2962505</v>
      </c>
    </row>
    <row r="30" spans="2:77" x14ac:dyDescent="0.25">
      <c r="B30" s="13"/>
      <c r="G30" s="13"/>
      <c r="L30" s="13"/>
      <c r="Q30" s="13"/>
      <c r="V30" s="13"/>
      <c r="W30" s="13"/>
      <c r="X30" s="13"/>
      <c r="Y30" s="13"/>
      <c r="Z30" s="13"/>
      <c r="AA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20" t="s">
        <v>130</v>
      </c>
      <c r="BL30" s="105">
        <v>1545835</v>
      </c>
      <c r="BM30" s="105">
        <v>379296</v>
      </c>
      <c r="BN30" s="105">
        <v>138507</v>
      </c>
      <c r="BO30" s="107">
        <v>15012125</v>
      </c>
      <c r="BP30" s="13"/>
      <c r="BQ30" s="105">
        <v>1479860</v>
      </c>
      <c r="BR30" s="105">
        <v>608152</v>
      </c>
      <c r="BS30" s="105">
        <v>370825</v>
      </c>
      <c r="BT30" s="107">
        <v>14581007</v>
      </c>
      <c r="BU30" s="13"/>
      <c r="BV30" s="105">
        <v>1490614</v>
      </c>
      <c r="BW30" s="105">
        <v>612000</v>
      </c>
      <c r="BX30" s="105">
        <v>376007</v>
      </c>
      <c r="BY30" s="107">
        <v>14377042</v>
      </c>
    </row>
    <row r="31" spans="2:77" x14ac:dyDescent="0.25">
      <c r="B31" s="13"/>
      <c r="G31" s="13"/>
      <c r="L31" s="13"/>
      <c r="Q31" s="13"/>
      <c r="V31" s="13"/>
      <c r="W31" s="13"/>
      <c r="X31" s="13"/>
      <c r="Y31" s="13"/>
      <c r="Z31" s="13"/>
      <c r="AA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20" t="s">
        <v>132</v>
      </c>
      <c r="BL31" s="105">
        <v>4010459</v>
      </c>
      <c r="BM31" s="105">
        <v>106749</v>
      </c>
      <c r="BN31" s="105">
        <v>103508</v>
      </c>
      <c r="BO31" s="107">
        <v>3715551</v>
      </c>
      <c r="BP31" s="13"/>
      <c r="BQ31" s="105">
        <v>3691883</v>
      </c>
      <c r="BR31" s="105">
        <v>109830</v>
      </c>
      <c r="BS31" s="105">
        <v>105291</v>
      </c>
      <c r="BT31" s="107">
        <v>2413083</v>
      </c>
      <c r="BU31" s="13"/>
      <c r="BV31" s="105">
        <v>3479108</v>
      </c>
      <c r="BW31" s="105">
        <v>153290</v>
      </c>
      <c r="BX31" s="105">
        <v>144543</v>
      </c>
      <c r="BY31" s="107">
        <v>2040729</v>
      </c>
    </row>
    <row r="32" spans="2:77" x14ac:dyDescent="0.25">
      <c r="B32" s="13"/>
      <c r="G32" s="13"/>
      <c r="L32" s="13"/>
      <c r="Q32" s="13"/>
      <c r="V32" s="13"/>
      <c r="W32" s="13"/>
      <c r="X32" s="13"/>
      <c r="Y32" s="13"/>
      <c r="Z32" s="13"/>
      <c r="AA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20" t="s">
        <v>135</v>
      </c>
      <c r="BL32" s="105">
        <v>153870</v>
      </c>
      <c r="BM32" s="105">
        <v>-2388</v>
      </c>
      <c r="BN32" s="105">
        <v>-15091</v>
      </c>
      <c r="BO32" s="105">
        <v>267663</v>
      </c>
      <c r="BP32" s="13"/>
      <c r="BQ32" s="105">
        <v>155387</v>
      </c>
      <c r="BR32" s="105">
        <v>31201</v>
      </c>
      <c r="BS32" s="105">
        <v>19345</v>
      </c>
      <c r="BT32" s="105">
        <v>230454</v>
      </c>
      <c r="BU32" s="13"/>
      <c r="BV32" s="105">
        <v>138236</v>
      </c>
      <c r="BW32" s="105">
        <v>15822</v>
      </c>
      <c r="BX32" s="105">
        <v>5885</v>
      </c>
      <c r="BY32" s="105">
        <v>222294</v>
      </c>
    </row>
    <row r="33" spans="2:77" x14ac:dyDescent="0.25">
      <c r="B33" s="13"/>
      <c r="G33" s="13"/>
      <c r="L33" s="13"/>
      <c r="Q33" s="13"/>
      <c r="V33" s="13"/>
      <c r="W33" s="13"/>
      <c r="X33" s="13"/>
      <c r="Y33" s="13"/>
      <c r="Z33" s="13"/>
      <c r="AA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25" t="s">
        <v>134</v>
      </c>
      <c r="BL33" s="112">
        <v>57229</v>
      </c>
      <c r="BM33" s="112">
        <v>-838</v>
      </c>
      <c r="BN33" s="112">
        <v>-2417</v>
      </c>
      <c r="BO33" s="112">
        <v>191933</v>
      </c>
      <c r="BP33" s="13"/>
      <c r="BQ33" s="112">
        <v>78754</v>
      </c>
      <c r="BR33" s="112">
        <v>11110</v>
      </c>
      <c r="BS33" s="112">
        <v>9389</v>
      </c>
      <c r="BT33" s="112">
        <v>160564</v>
      </c>
      <c r="BU33" s="13"/>
      <c r="BV33" s="112">
        <v>57784</v>
      </c>
      <c r="BW33" s="112">
        <v>6878</v>
      </c>
      <c r="BX33" s="112">
        <v>5166</v>
      </c>
      <c r="BY33" s="112">
        <v>182892</v>
      </c>
    </row>
    <row r="34" spans="2:77" x14ac:dyDescent="0.25">
      <c r="B34" s="13"/>
      <c r="G34" s="13"/>
      <c r="L34" s="13"/>
      <c r="Q34" s="13"/>
      <c r="V34" s="13"/>
      <c r="W34" s="13"/>
      <c r="X34" s="13"/>
      <c r="Y34" s="13"/>
      <c r="Z34" s="13"/>
      <c r="AA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</row>
    <row r="35" spans="2:77" x14ac:dyDescent="0.25">
      <c r="B35" s="13"/>
      <c r="G35" s="13"/>
      <c r="L35" s="13"/>
      <c r="Q35" s="13"/>
      <c r="V35" s="13"/>
      <c r="W35" s="13"/>
      <c r="X35" s="13"/>
      <c r="Y35" s="13"/>
      <c r="Z35" s="13"/>
      <c r="AA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</row>
    <row r="36" spans="2:77" x14ac:dyDescent="0.25">
      <c r="B36" s="13"/>
      <c r="G36" s="13"/>
      <c r="L36" s="13"/>
      <c r="Q36" s="13"/>
      <c r="V36" s="13"/>
      <c r="W36" s="13"/>
      <c r="X36" s="13"/>
      <c r="Y36" s="13"/>
      <c r="Z36" s="13"/>
      <c r="AA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</row>
    <row r="37" spans="2:77" ht="38.25" x14ac:dyDescent="0.25">
      <c r="B37" s="13"/>
      <c r="G37" s="13"/>
      <c r="L37" s="13"/>
      <c r="Q37" s="13"/>
      <c r="V37" s="13"/>
      <c r="W37" s="13"/>
      <c r="X37" s="13"/>
      <c r="Y37" s="13"/>
      <c r="Z37" s="13"/>
      <c r="AA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10" t="s">
        <v>86</v>
      </c>
      <c r="BL37" s="111" t="s">
        <v>179</v>
      </c>
      <c r="BM37" s="111" t="s">
        <v>180</v>
      </c>
      <c r="BN37" s="111" t="s">
        <v>181</v>
      </c>
      <c r="BO37" s="111" t="s">
        <v>161</v>
      </c>
      <c r="BP37" s="13"/>
      <c r="BQ37" s="111" t="s">
        <v>182</v>
      </c>
      <c r="BR37" s="111" t="s">
        <v>183</v>
      </c>
      <c r="BS37" s="111" t="s">
        <v>184</v>
      </c>
      <c r="BT37" s="111" t="s">
        <v>165</v>
      </c>
      <c r="BU37" s="13"/>
      <c r="BV37" s="111" t="s">
        <v>185</v>
      </c>
      <c r="BW37" s="111" t="s">
        <v>186</v>
      </c>
      <c r="BX37" s="111" t="s">
        <v>187</v>
      </c>
      <c r="BY37" s="111" t="s">
        <v>169</v>
      </c>
    </row>
    <row r="38" spans="2:77" x14ac:dyDescent="0.25">
      <c r="B38" s="13"/>
      <c r="G38" s="13"/>
      <c r="L38" s="13"/>
      <c r="Q38" s="13"/>
      <c r="V38" s="13"/>
      <c r="W38" s="13"/>
      <c r="X38" s="13"/>
      <c r="Y38" s="13"/>
      <c r="Z38" s="13"/>
      <c r="AA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4" t="s">
        <v>128</v>
      </c>
      <c r="BL38" s="106">
        <v>304936</v>
      </c>
      <c r="BM38" s="106">
        <v>-2231</v>
      </c>
      <c r="BN38" s="106">
        <v>-23008</v>
      </c>
      <c r="BO38" s="106">
        <v>1465831</v>
      </c>
      <c r="BP38" s="13"/>
      <c r="BQ38" s="106">
        <v>344248</v>
      </c>
      <c r="BR38" s="106">
        <v>30610</v>
      </c>
      <c r="BS38" s="106">
        <v>4342</v>
      </c>
      <c r="BT38" s="106">
        <v>1465831</v>
      </c>
      <c r="BU38" s="13"/>
      <c r="BV38" s="106">
        <v>375593</v>
      </c>
      <c r="BW38" s="106">
        <v>64483</v>
      </c>
      <c r="BX38" s="106">
        <v>38486</v>
      </c>
      <c r="BY38" s="106">
        <v>1465831</v>
      </c>
    </row>
    <row r="39" spans="2:77" x14ac:dyDescent="0.25">
      <c r="B39" s="13"/>
      <c r="G39" s="13"/>
      <c r="L39" s="13"/>
      <c r="Q39" s="13"/>
      <c r="V39" s="13"/>
      <c r="W39" s="13"/>
      <c r="X39" s="13"/>
      <c r="Y39" s="13"/>
      <c r="Z39" s="13"/>
      <c r="AA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20" t="s">
        <v>129</v>
      </c>
      <c r="BL39" s="105">
        <v>1234695</v>
      </c>
      <c r="BM39" s="105">
        <v>-88343</v>
      </c>
      <c r="BN39" s="105">
        <v>-204787</v>
      </c>
      <c r="BO39" s="107">
        <v>8646833</v>
      </c>
      <c r="BP39" s="13"/>
      <c r="BQ39" s="105">
        <v>1069434</v>
      </c>
      <c r="BR39" s="105">
        <v>89056</v>
      </c>
      <c r="BS39" s="105">
        <v>-23575</v>
      </c>
      <c r="BT39" s="107">
        <v>8646833</v>
      </c>
      <c r="BU39" s="13"/>
      <c r="BV39" s="105">
        <v>1063065</v>
      </c>
      <c r="BW39" s="105">
        <v>-129465</v>
      </c>
      <c r="BX39" s="105">
        <v>-258674</v>
      </c>
      <c r="BY39" s="107">
        <v>8646833</v>
      </c>
    </row>
    <row r="40" spans="2:77" x14ac:dyDescent="0.25">
      <c r="B40" s="13"/>
      <c r="G40" s="13"/>
      <c r="L40" s="13"/>
      <c r="Q40" s="13"/>
      <c r="V40" s="13"/>
      <c r="W40" s="13"/>
      <c r="X40" s="13"/>
      <c r="Y40" s="13"/>
      <c r="Z40" s="13"/>
      <c r="AA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20" t="s">
        <v>131</v>
      </c>
      <c r="BL40" s="105">
        <v>75595</v>
      </c>
      <c r="BM40" s="105">
        <v>51721</v>
      </c>
      <c r="BN40" s="105">
        <v>36103</v>
      </c>
      <c r="BO40" s="107">
        <v>1944940</v>
      </c>
      <c r="BP40" s="13"/>
      <c r="BQ40" s="105">
        <v>36445</v>
      </c>
      <c r="BR40" s="105">
        <v>21782</v>
      </c>
      <c r="BS40" s="105">
        <v>12906</v>
      </c>
      <c r="BT40" s="107">
        <v>1944940</v>
      </c>
      <c r="BU40" s="13"/>
      <c r="BV40" s="105">
        <v>50919</v>
      </c>
      <c r="BW40" s="105">
        <v>34878</v>
      </c>
      <c r="BX40" s="105">
        <v>25991</v>
      </c>
      <c r="BY40" s="107">
        <v>1944940</v>
      </c>
    </row>
    <row r="41" spans="2:77" x14ac:dyDescent="0.25">
      <c r="B41" s="13"/>
      <c r="G41" s="13"/>
      <c r="L41" s="13"/>
      <c r="Q41" s="13"/>
      <c r="V41" s="13"/>
      <c r="W41" s="13"/>
      <c r="X41" s="13"/>
      <c r="Y41" s="13"/>
      <c r="Z41" s="13"/>
      <c r="AA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20" t="s">
        <v>133</v>
      </c>
      <c r="BL41" s="105">
        <v>412047</v>
      </c>
      <c r="BM41" s="105">
        <v>70560</v>
      </c>
      <c r="BN41" s="105">
        <v>34808</v>
      </c>
      <c r="BO41" s="105">
        <v>2169616</v>
      </c>
      <c r="BP41" s="13"/>
      <c r="BQ41" s="105">
        <v>242199</v>
      </c>
      <c r="BR41" s="105">
        <v>32175</v>
      </c>
      <c r="BS41" s="105">
        <v>1157</v>
      </c>
      <c r="BT41" s="105">
        <v>2169616</v>
      </c>
      <c r="BU41" s="13"/>
      <c r="BV41" s="105">
        <v>261695</v>
      </c>
      <c r="BW41" s="105">
        <v>27278</v>
      </c>
      <c r="BX41" s="105">
        <v>-1712</v>
      </c>
      <c r="BY41" s="105">
        <v>2169616</v>
      </c>
    </row>
    <row r="42" spans="2:77" x14ac:dyDescent="0.25">
      <c r="B42" s="13"/>
      <c r="G42" s="13"/>
      <c r="L42" s="13"/>
      <c r="Q42" s="13"/>
      <c r="V42" s="13"/>
      <c r="W42" s="13"/>
      <c r="X42" s="13"/>
      <c r="Y42" s="13"/>
      <c r="Z42" s="13"/>
      <c r="AA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20" t="s">
        <v>130</v>
      </c>
      <c r="BL42" s="105">
        <v>1546279</v>
      </c>
      <c r="BM42" s="105">
        <v>507686</v>
      </c>
      <c r="BN42" s="105">
        <v>271310</v>
      </c>
      <c r="BO42" s="107">
        <v>14002290</v>
      </c>
      <c r="BP42" s="13"/>
      <c r="BQ42" s="105">
        <v>1440387</v>
      </c>
      <c r="BR42" s="105">
        <v>596593</v>
      </c>
      <c r="BS42" s="105">
        <v>368174</v>
      </c>
      <c r="BT42" s="107">
        <v>14002290</v>
      </c>
      <c r="BU42" s="13"/>
      <c r="BV42" s="105">
        <v>1469113</v>
      </c>
      <c r="BW42" s="105">
        <v>577973</v>
      </c>
      <c r="BX42" s="105">
        <v>354207</v>
      </c>
      <c r="BY42" s="107">
        <v>14002290</v>
      </c>
    </row>
    <row r="43" spans="2:77" x14ac:dyDescent="0.25">
      <c r="B43" s="13"/>
      <c r="G43" s="13"/>
      <c r="L43" s="13"/>
      <c r="Q43" s="13"/>
      <c r="V43" s="13"/>
      <c r="W43" s="13"/>
      <c r="X43" s="13"/>
      <c r="Y43" s="13"/>
      <c r="Z43" s="13"/>
      <c r="AA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20" t="s">
        <v>132</v>
      </c>
      <c r="BL43" s="105">
        <v>4716134</v>
      </c>
      <c r="BM43" s="105">
        <v>152054</v>
      </c>
      <c r="BN43" s="105">
        <v>143572</v>
      </c>
      <c r="BO43" s="107">
        <v>3111539</v>
      </c>
      <c r="BP43" s="13"/>
      <c r="BQ43" s="105">
        <v>4307905</v>
      </c>
      <c r="BR43" s="105">
        <v>151423</v>
      </c>
      <c r="BS43" s="105">
        <v>142487</v>
      </c>
      <c r="BT43" s="107">
        <v>3111539</v>
      </c>
      <c r="BU43" s="13"/>
      <c r="BV43" s="105">
        <v>4202695</v>
      </c>
      <c r="BW43" s="105">
        <v>247856</v>
      </c>
      <c r="BX43" s="105">
        <v>239409</v>
      </c>
      <c r="BY43" s="107">
        <v>3111539</v>
      </c>
    </row>
    <row r="44" spans="2:77" x14ac:dyDescent="0.25">
      <c r="B44" s="13"/>
      <c r="G44" s="13"/>
      <c r="L44" s="13"/>
      <c r="Q44" s="13"/>
      <c r="V44" s="13"/>
      <c r="W44" s="13"/>
      <c r="X44" s="13"/>
      <c r="Y44" s="13"/>
      <c r="Z44" s="13"/>
      <c r="AA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20" t="s">
        <v>135</v>
      </c>
      <c r="BL44" s="105">
        <v>117604</v>
      </c>
      <c r="BM44" s="105">
        <v>-26269</v>
      </c>
      <c r="BN44" s="105">
        <v>-32841</v>
      </c>
      <c r="BO44" s="105">
        <v>183519</v>
      </c>
      <c r="BP44" s="13"/>
      <c r="BQ44" s="105">
        <v>139772</v>
      </c>
      <c r="BR44" s="105">
        <v>37893</v>
      </c>
      <c r="BS44" s="105">
        <v>32774</v>
      </c>
      <c r="BT44" s="105">
        <v>183519</v>
      </c>
      <c r="BU44" s="13"/>
      <c r="BV44" s="105">
        <v>131113</v>
      </c>
      <c r="BW44" s="105">
        <v>21556</v>
      </c>
      <c r="BX44" s="105">
        <v>17918</v>
      </c>
      <c r="BY44" s="105">
        <v>183519</v>
      </c>
    </row>
    <row r="45" spans="2:77" x14ac:dyDescent="0.25">
      <c r="B45" s="13"/>
      <c r="G45" s="13"/>
      <c r="L45" s="13"/>
      <c r="Q45" s="13"/>
      <c r="V45" s="13"/>
      <c r="W45" s="13"/>
      <c r="X45" s="13"/>
      <c r="Y45" s="13"/>
      <c r="Z45" s="13"/>
      <c r="AA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25" t="s">
        <v>134</v>
      </c>
      <c r="BL45" s="112">
        <v>77093</v>
      </c>
      <c r="BM45" s="112">
        <v>3386</v>
      </c>
      <c r="BN45" s="112">
        <v>3330</v>
      </c>
      <c r="BO45" s="112">
        <v>170774</v>
      </c>
      <c r="BP45" s="13"/>
      <c r="BQ45" s="112">
        <v>67137</v>
      </c>
      <c r="BR45" s="112">
        <v>7908</v>
      </c>
      <c r="BS45" s="112">
        <v>5723</v>
      </c>
      <c r="BT45" s="112">
        <v>170774</v>
      </c>
      <c r="BU45" s="13"/>
      <c r="BV45" s="112">
        <v>62475</v>
      </c>
      <c r="BW45" s="112">
        <v>3861</v>
      </c>
      <c r="BX45" s="112">
        <v>1662</v>
      </c>
      <c r="BY45" s="112">
        <v>170774</v>
      </c>
    </row>
    <row r="46" spans="2:77" x14ac:dyDescent="0.25">
      <c r="B46" s="13"/>
      <c r="G46" s="13"/>
      <c r="L46" s="13"/>
      <c r="Q46" s="13"/>
      <c r="V46" s="13"/>
      <c r="W46" s="13"/>
      <c r="X46" s="13"/>
      <c r="Y46" s="13"/>
      <c r="Z46" s="13"/>
      <c r="AA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</row>
  </sheetData>
  <customSheetViews>
    <customSheetView guid="{77EFF5B1-32BE-4080-9902-B97F43099026}">
      <selection activeCell="F17" sqref="F17"/>
      <pageMargins left="0.7" right="0.7" top="0.75" bottom="0.75" header="0.3" footer="0.3"/>
    </customSheetView>
    <customSheetView guid="{AAA495E0-27FD-4941-85B8-9038B6AD4FA3}">
      <selection activeCell="A2" sqref="A2"/>
      <pageMargins left="0.7" right="0.7" top="0.75" bottom="0.75" header="0.3" footer="0.3"/>
    </customSheetView>
    <customSheetView guid="{874BA5F8-BD95-4DDF-8F31-98DB154CA965}">
      <selection activeCell="A2" sqref="A2"/>
      <pageMargins left="0.7" right="0.7" top="0.75" bottom="0.75" header="0.3" footer="0.3"/>
    </customSheetView>
    <customSheetView guid="{627AEB6E-B9F1-415E-9A60-881757A50C67}">
      <selection activeCell="C19" sqref="C19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X23"/>
  <sheetViews>
    <sheetView workbookViewId="0"/>
  </sheetViews>
  <sheetFormatPr defaultRowHeight="15" x14ac:dyDescent="0.25"/>
  <cols>
    <col min="1" max="1" width="31.85546875" style="12" bestFit="1" customWidth="1"/>
    <col min="2" max="2" width="3.7109375" style="12" customWidth="1"/>
    <col min="3" max="3" width="17.7109375" style="141" customWidth="1"/>
    <col min="4" max="4" width="17.7109375" style="12" customWidth="1"/>
    <col min="5" max="5" width="3.7109375" style="12" customWidth="1"/>
    <col min="6" max="7" width="15.7109375" style="12" customWidth="1"/>
    <col min="8" max="8" width="5.85546875" style="12" customWidth="1"/>
    <col min="9" max="9" width="15.7109375" style="141" customWidth="1"/>
    <col min="10" max="10" width="15.7109375" style="12" customWidth="1"/>
    <col min="11" max="11" width="3.7109375" style="12" customWidth="1"/>
    <col min="12" max="13" width="15.7109375" style="12" customWidth="1"/>
    <col min="14" max="14" width="5.85546875" style="12" customWidth="1"/>
    <col min="15" max="15" width="15" style="141" customWidth="1"/>
    <col min="16" max="16" width="14" style="12" customWidth="1"/>
    <col min="17" max="17" width="3.7109375" style="12" customWidth="1"/>
    <col min="18" max="18" width="12.5703125" style="12" customWidth="1"/>
    <col min="19" max="19" width="9.7109375" style="12" bestFit="1" customWidth="1"/>
    <col min="20" max="20" width="3.7109375" style="12" customWidth="1"/>
    <col min="21" max="21" width="14.140625" style="12" customWidth="1"/>
    <col min="22" max="22" width="15.42578125" style="12" customWidth="1"/>
    <col min="23" max="23" width="3.7109375" style="12" customWidth="1"/>
    <col min="24" max="25" width="18.140625" style="12" customWidth="1"/>
    <col min="26" max="26" width="3.7109375" style="12" customWidth="1"/>
    <col min="27" max="28" width="16" style="12" customWidth="1"/>
    <col min="29" max="29" width="3.7109375" style="12" customWidth="1"/>
    <col min="30" max="31" width="16.85546875" style="12" customWidth="1"/>
    <col min="32" max="32" width="3.7109375" style="12" customWidth="1"/>
    <col min="33" max="34" width="16.42578125" style="12" customWidth="1"/>
    <col min="35" max="35" width="3.7109375" style="12" customWidth="1"/>
    <col min="36" max="37" width="16.28515625" style="12" customWidth="1"/>
    <col min="38" max="38" width="3.7109375" style="12" customWidth="1"/>
    <col min="39" max="39" width="31.85546875" style="12" bestFit="1" customWidth="1"/>
    <col min="40" max="41" width="13" style="12" customWidth="1"/>
    <col min="42" max="42" width="3.7109375" style="12" customWidth="1"/>
    <col min="43" max="44" width="12.42578125" style="12" customWidth="1"/>
    <col min="45" max="45" width="3.7109375" style="12" customWidth="1"/>
    <col min="46" max="47" width="12.7109375" style="12" customWidth="1"/>
    <col min="48" max="48" width="3.7109375" style="12" customWidth="1"/>
    <col min="49" max="50" width="12.140625" style="12" customWidth="1"/>
    <col min="51" max="16384" width="9.140625" style="12"/>
  </cols>
  <sheetData>
    <row r="1" spans="1:50" ht="20.25" x14ac:dyDescent="0.25">
      <c r="A1" s="1" t="s">
        <v>188</v>
      </c>
      <c r="B1" s="98"/>
      <c r="C1" s="140"/>
      <c r="D1" s="2"/>
      <c r="E1" s="98"/>
      <c r="F1" s="2"/>
      <c r="G1" s="2"/>
      <c r="H1" s="98"/>
      <c r="I1" s="140"/>
      <c r="J1" s="2"/>
      <c r="K1" s="98"/>
      <c r="L1" s="2"/>
      <c r="M1" s="2"/>
      <c r="N1" s="98"/>
      <c r="O1" s="140"/>
      <c r="P1" s="2"/>
      <c r="Q1" s="98"/>
      <c r="R1" s="2"/>
      <c r="S1" s="2"/>
      <c r="T1" s="98"/>
      <c r="U1" s="2"/>
      <c r="V1" s="2"/>
      <c r="W1" s="98"/>
      <c r="X1" s="2"/>
      <c r="Y1" s="2"/>
      <c r="Z1" s="7"/>
      <c r="AA1" s="2"/>
      <c r="AB1" s="2"/>
      <c r="AC1" s="7"/>
      <c r="AD1" s="2"/>
      <c r="AE1" s="2"/>
      <c r="AF1" s="7"/>
      <c r="AG1" s="2"/>
      <c r="AH1" s="2"/>
      <c r="AI1" s="7"/>
      <c r="AJ1" s="2"/>
      <c r="AK1" s="2"/>
      <c r="AL1" s="7"/>
      <c r="AM1" s="1" t="s">
        <v>188</v>
      </c>
      <c r="AN1" s="2"/>
      <c r="AO1" s="2"/>
      <c r="AP1" s="7"/>
      <c r="AQ1" s="3"/>
      <c r="AR1" s="3"/>
      <c r="AS1" s="7"/>
      <c r="AT1" s="7"/>
      <c r="AU1" s="7"/>
      <c r="AV1" s="7"/>
      <c r="AW1" s="7"/>
      <c r="AX1" s="7"/>
    </row>
    <row r="2" spans="1:50" ht="20.25" x14ac:dyDescent="0.25">
      <c r="A2" s="98"/>
      <c r="B2" s="113"/>
      <c r="C2" s="114" t="s">
        <v>189</v>
      </c>
      <c r="D2" s="9"/>
      <c r="E2" s="113"/>
      <c r="F2" s="114" t="s">
        <v>190</v>
      </c>
      <c r="G2" s="9"/>
      <c r="H2" s="113"/>
      <c r="I2" s="114" t="s">
        <v>189</v>
      </c>
      <c r="J2" s="9"/>
      <c r="K2" s="113"/>
      <c r="L2" s="114" t="s">
        <v>190</v>
      </c>
      <c r="M2" s="9"/>
      <c r="N2" s="113"/>
      <c r="O2" s="10"/>
      <c r="P2" s="9"/>
      <c r="Q2" s="113"/>
      <c r="R2" s="114" t="s">
        <v>189</v>
      </c>
      <c r="S2" s="115"/>
      <c r="T2" s="113"/>
      <c r="U2" s="114" t="s">
        <v>190</v>
      </c>
      <c r="V2" s="115"/>
      <c r="W2" s="98"/>
      <c r="X2" s="346" t="s">
        <v>189</v>
      </c>
      <c r="Y2" s="346"/>
      <c r="Z2" s="7"/>
      <c r="AA2" s="346" t="s">
        <v>190</v>
      </c>
      <c r="AB2" s="346"/>
      <c r="AC2" s="7"/>
      <c r="AD2" s="346" t="s">
        <v>189</v>
      </c>
      <c r="AE2" s="346"/>
      <c r="AF2" s="7"/>
      <c r="AG2" s="346" t="s">
        <v>190</v>
      </c>
      <c r="AH2" s="346"/>
      <c r="AI2" s="7"/>
      <c r="AJ2" s="9"/>
      <c r="AK2" s="9"/>
      <c r="AL2" s="7"/>
      <c r="AM2" s="98"/>
      <c r="AN2" s="3"/>
      <c r="AO2" s="3"/>
      <c r="AP2" s="7"/>
      <c r="AQ2" s="2"/>
      <c r="AR2" s="2"/>
      <c r="AS2" s="7"/>
      <c r="AT2" s="105"/>
      <c r="AU2" s="105"/>
      <c r="AV2" s="7"/>
    </row>
    <row r="3" spans="1:50" ht="36" customHeight="1" x14ac:dyDescent="0.25">
      <c r="A3" s="116" t="s">
        <v>86</v>
      </c>
      <c r="B3" s="117"/>
      <c r="C3" s="9" t="s">
        <v>550</v>
      </c>
      <c r="D3" s="9" t="s">
        <v>8</v>
      </c>
      <c r="E3" s="13"/>
      <c r="F3" s="9" t="s">
        <v>551</v>
      </c>
      <c r="G3" s="9" t="s">
        <v>552</v>
      </c>
      <c r="H3" s="117"/>
      <c r="I3" s="10" t="s">
        <v>518</v>
      </c>
      <c r="J3" s="9" t="s">
        <v>527</v>
      </c>
      <c r="K3" s="117"/>
      <c r="L3" s="10" t="s">
        <v>516</v>
      </c>
      <c r="M3" s="9" t="s">
        <v>517</v>
      </c>
      <c r="N3" s="117"/>
      <c r="O3" s="10" t="s">
        <v>2</v>
      </c>
      <c r="P3" s="9" t="s">
        <v>3</v>
      </c>
      <c r="Q3" s="117"/>
      <c r="R3" s="10" t="s">
        <v>4</v>
      </c>
      <c r="S3" s="9" t="s">
        <v>5</v>
      </c>
      <c r="T3" s="117"/>
      <c r="U3" s="10" t="s">
        <v>6</v>
      </c>
      <c r="V3" s="9" t="s">
        <v>7</v>
      </c>
      <c r="W3" s="117"/>
      <c r="X3" s="9" t="s">
        <v>8</v>
      </c>
      <c r="Y3" s="9" t="s">
        <v>9</v>
      </c>
      <c r="Z3" s="13"/>
      <c r="AA3" s="9" t="s">
        <v>10</v>
      </c>
      <c r="AB3" s="9" t="s">
        <v>11</v>
      </c>
      <c r="AC3" s="13"/>
      <c r="AD3" s="9" t="s">
        <v>12</v>
      </c>
      <c r="AE3" s="9" t="s">
        <v>13</v>
      </c>
      <c r="AF3" s="13"/>
      <c r="AG3" s="9" t="s">
        <v>14</v>
      </c>
      <c r="AH3" s="9" t="s">
        <v>15</v>
      </c>
      <c r="AI3" s="13"/>
      <c r="AJ3" s="9" t="s">
        <v>16</v>
      </c>
      <c r="AK3" s="9" t="s">
        <v>17</v>
      </c>
      <c r="AL3" s="13"/>
      <c r="AM3" s="116" t="s">
        <v>86</v>
      </c>
      <c r="AN3" s="111" t="s">
        <v>5</v>
      </c>
      <c r="AO3" s="111" t="s">
        <v>18</v>
      </c>
      <c r="AP3" s="13"/>
      <c r="AQ3" s="111" t="s">
        <v>191</v>
      </c>
      <c r="AR3" s="111" t="s">
        <v>192</v>
      </c>
      <c r="AS3" s="13"/>
      <c r="AT3" s="111" t="s">
        <v>193</v>
      </c>
      <c r="AU3" s="111" t="s">
        <v>194</v>
      </c>
      <c r="AV3" s="13"/>
      <c r="AW3" s="111" t="s">
        <v>18</v>
      </c>
      <c r="AX3" s="111" t="s">
        <v>195</v>
      </c>
    </row>
    <row r="4" spans="1:50" x14ac:dyDescent="0.25">
      <c r="A4" s="118" t="s">
        <v>128</v>
      </c>
      <c r="B4" s="119"/>
      <c r="C4" s="120">
        <v>132344</v>
      </c>
      <c r="D4" s="106">
        <v>177546</v>
      </c>
      <c r="E4" s="119"/>
      <c r="F4" s="120">
        <v>41690</v>
      </c>
      <c r="G4" s="106">
        <v>31301</v>
      </c>
      <c r="H4" s="119"/>
      <c r="I4" s="120">
        <f>[1]Q2_2016!$C$192</f>
        <v>90654</v>
      </c>
      <c r="J4" s="106">
        <f>[1]Q2_2016!$D$192</f>
        <v>146245</v>
      </c>
      <c r="K4" s="119"/>
      <c r="L4" s="120">
        <f>[1]Q2_2016!$I$192</f>
        <v>27237</v>
      </c>
      <c r="M4" s="106">
        <f>[1]Q2_2016!$J$192</f>
        <v>86032</v>
      </c>
      <c r="N4" s="119"/>
      <c r="O4" s="120">
        <v>63417</v>
      </c>
      <c r="P4" s="106">
        <v>60213</v>
      </c>
      <c r="Q4" s="119"/>
      <c r="R4" s="120">
        <v>211458</v>
      </c>
      <c r="S4" s="106">
        <v>188897</v>
      </c>
      <c r="T4" s="119"/>
      <c r="U4" s="120">
        <v>33912</v>
      </c>
      <c r="V4" s="106">
        <v>63753</v>
      </c>
      <c r="W4" s="119"/>
      <c r="X4" s="106">
        <v>177546</v>
      </c>
      <c r="Y4" s="106">
        <v>125144</v>
      </c>
      <c r="Z4" s="13"/>
      <c r="AA4" s="106">
        <v>31301</v>
      </c>
      <c r="AB4" s="106">
        <v>42876</v>
      </c>
      <c r="AC4" s="13"/>
      <c r="AD4" s="106">
        <v>146245</v>
      </c>
      <c r="AE4" s="106">
        <v>82268</v>
      </c>
      <c r="AF4" s="13"/>
      <c r="AG4" s="106">
        <v>86032</v>
      </c>
      <c r="AH4" s="106">
        <v>38079</v>
      </c>
      <c r="AI4" s="13"/>
      <c r="AJ4" s="106">
        <v>60213</v>
      </c>
      <c r="AK4" s="106">
        <v>44189</v>
      </c>
      <c r="AL4" s="13"/>
      <c r="AM4" s="118" t="s">
        <v>128</v>
      </c>
      <c r="AN4" s="106">
        <v>188897</v>
      </c>
      <c r="AO4" s="106">
        <v>256524</v>
      </c>
      <c r="AP4" s="13"/>
      <c r="AQ4" s="106">
        <v>125144</v>
      </c>
      <c r="AR4" s="106">
        <v>173182</v>
      </c>
      <c r="AS4" s="13"/>
      <c r="AT4" s="106">
        <v>82268</v>
      </c>
      <c r="AU4" s="106">
        <v>115854</v>
      </c>
      <c r="AV4" s="13"/>
      <c r="AW4" s="121">
        <v>256524</v>
      </c>
      <c r="AX4" s="121">
        <v>167268</v>
      </c>
    </row>
    <row r="5" spans="1:50" x14ac:dyDescent="0.25">
      <c r="A5" s="119" t="s">
        <v>129</v>
      </c>
      <c r="B5" s="119"/>
      <c r="C5" s="104">
        <v>1110294</v>
      </c>
      <c r="D5" s="105">
        <v>1408650</v>
      </c>
      <c r="E5" s="119"/>
      <c r="F5" s="104">
        <v>510474</v>
      </c>
      <c r="G5" s="105">
        <v>523081</v>
      </c>
      <c r="H5" s="119"/>
      <c r="I5" s="104">
        <f>[1]Q2_2016!$C$198</f>
        <v>599820</v>
      </c>
      <c r="J5" s="105">
        <f>[1]Q2_2016!$D$198</f>
        <v>885569</v>
      </c>
      <c r="K5" s="119"/>
      <c r="L5" s="104">
        <f>[1]Q2_2016!$I$198</f>
        <v>343886</v>
      </c>
      <c r="M5" s="105">
        <f>[1]Q2_2016!$J$198</f>
        <v>462379</v>
      </c>
      <c r="N5" s="119"/>
      <c r="O5" s="104">
        <v>255934</v>
      </c>
      <c r="P5" s="105">
        <v>423190</v>
      </c>
      <c r="Q5" s="119"/>
      <c r="R5" s="104">
        <v>1934229</v>
      </c>
      <c r="S5" s="105">
        <v>855029</v>
      </c>
      <c r="T5" s="119"/>
      <c r="U5" s="104">
        <v>525579</v>
      </c>
      <c r="V5" s="105">
        <v>314945</v>
      </c>
      <c r="W5" s="119"/>
      <c r="X5" s="105">
        <v>1408650</v>
      </c>
      <c r="Y5" s="105">
        <v>540084</v>
      </c>
      <c r="Z5" s="13"/>
      <c r="AA5" s="105">
        <v>523081</v>
      </c>
      <c r="AB5" s="105">
        <v>257781</v>
      </c>
      <c r="AC5" s="13"/>
      <c r="AD5" s="105">
        <v>885569</v>
      </c>
      <c r="AE5" s="105">
        <v>282303</v>
      </c>
      <c r="AF5" s="13"/>
      <c r="AG5" s="105">
        <v>462379</v>
      </c>
      <c r="AH5" s="105">
        <v>155138</v>
      </c>
      <c r="AI5" s="13"/>
      <c r="AJ5" s="105">
        <v>423190</v>
      </c>
      <c r="AK5" s="105">
        <v>127165</v>
      </c>
      <c r="AL5" s="13"/>
      <c r="AM5" s="119" t="s">
        <v>129</v>
      </c>
      <c r="AN5" s="105">
        <v>403503</v>
      </c>
      <c r="AO5" s="105">
        <v>520926</v>
      </c>
      <c r="AP5" s="13"/>
      <c r="AQ5" s="105">
        <v>234821</v>
      </c>
      <c r="AR5" s="105">
        <v>402703</v>
      </c>
      <c r="AS5" s="13"/>
      <c r="AT5" s="105">
        <v>126211</v>
      </c>
      <c r="AU5" s="105">
        <v>274748</v>
      </c>
      <c r="AV5" s="13"/>
      <c r="AW5" s="18">
        <v>520926</v>
      </c>
      <c r="AX5" s="18">
        <v>857153</v>
      </c>
    </row>
    <row r="6" spans="1:50" x14ac:dyDescent="0.25">
      <c r="A6" s="119" t="s">
        <v>130</v>
      </c>
      <c r="B6" s="119"/>
      <c r="C6" s="104">
        <v>1171378</v>
      </c>
      <c r="D6" s="105">
        <v>1133551</v>
      </c>
      <c r="E6" s="119"/>
      <c r="F6" s="104">
        <v>427039</v>
      </c>
      <c r="G6" s="105">
        <v>437305</v>
      </c>
      <c r="H6" s="119"/>
      <c r="I6" s="104">
        <f>[1]Q2_2016!$C$204</f>
        <v>744339</v>
      </c>
      <c r="J6" s="105">
        <f>[1]Q2_2016!$D$204</f>
        <v>696246</v>
      </c>
      <c r="K6" s="119"/>
      <c r="L6" s="104">
        <f>[1]Q2_2016!$I$204</f>
        <v>416024</v>
      </c>
      <c r="M6" s="105">
        <f>[1]Q2_2016!$J$204</f>
        <v>410845</v>
      </c>
      <c r="N6" s="119"/>
      <c r="O6" s="104">
        <v>328315</v>
      </c>
      <c r="P6" s="105">
        <v>285401</v>
      </c>
      <c r="Q6" s="119"/>
      <c r="R6" s="104">
        <v>1924886</v>
      </c>
      <c r="S6" s="105">
        <v>1934781</v>
      </c>
      <c r="T6" s="119"/>
      <c r="U6" s="104">
        <v>791335</v>
      </c>
      <c r="V6" s="105">
        <v>648958</v>
      </c>
      <c r="W6" s="119"/>
      <c r="X6" s="105">
        <v>1133551</v>
      </c>
      <c r="Y6" s="105">
        <v>1285823</v>
      </c>
      <c r="Z6" s="13"/>
      <c r="AA6" s="105">
        <v>437305</v>
      </c>
      <c r="AB6" s="105">
        <v>444335</v>
      </c>
      <c r="AC6" s="13"/>
      <c r="AD6" s="105">
        <v>696246</v>
      </c>
      <c r="AE6" s="105">
        <v>841488</v>
      </c>
      <c r="AF6" s="13"/>
      <c r="AG6" s="105">
        <v>410845</v>
      </c>
      <c r="AH6" s="105">
        <v>461646</v>
      </c>
      <c r="AI6" s="13"/>
      <c r="AJ6" s="105">
        <v>285401</v>
      </c>
      <c r="AK6" s="105">
        <v>379842</v>
      </c>
      <c r="AL6" s="13"/>
      <c r="AM6" s="119" t="s">
        <v>131</v>
      </c>
      <c r="AN6" s="105">
        <v>115951</v>
      </c>
      <c r="AO6" s="105">
        <v>606915</v>
      </c>
      <c r="AP6" s="13"/>
      <c r="AQ6" s="105">
        <v>79784</v>
      </c>
      <c r="AR6" s="105">
        <v>438534</v>
      </c>
      <c r="AS6" s="13"/>
      <c r="AT6" s="105">
        <v>57697</v>
      </c>
      <c r="AU6" s="105">
        <v>247822</v>
      </c>
      <c r="AV6" s="13"/>
      <c r="AW6" s="18">
        <v>606915</v>
      </c>
      <c r="AX6" s="18">
        <v>340396</v>
      </c>
    </row>
    <row r="7" spans="1:50" ht="15.75" x14ac:dyDescent="0.25">
      <c r="A7" s="119" t="s">
        <v>132</v>
      </c>
      <c r="B7" s="119"/>
      <c r="C7" s="104">
        <v>1164</v>
      </c>
      <c r="D7" s="105">
        <v>3197</v>
      </c>
      <c r="E7" s="119"/>
      <c r="F7" s="104">
        <v>407</v>
      </c>
      <c r="G7" s="105">
        <v>666</v>
      </c>
      <c r="H7" s="119"/>
      <c r="I7" s="104">
        <f>[1]Q2_2016!$C$210</f>
        <v>757</v>
      </c>
      <c r="J7" s="105">
        <f>[1]Q2_2016!$D$210</f>
        <v>2531</v>
      </c>
      <c r="K7" s="119"/>
      <c r="L7" s="104">
        <f>[1]Q2_2016!$I$210</f>
        <v>78</v>
      </c>
      <c r="M7" s="105">
        <f>[1]Q2_2016!$J$210</f>
        <v>893</v>
      </c>
      <c r="N7" s="119"/>
      <c r="O7" s="104">
        <v>679</v>
      </c>
      <c r="P7" s="105">
        <v>1638</v>
      </c>
      <c r="Q7" s="119"/>
      <c r="R7" s="104">
        <v>4604</v>
      </c>
      <c r="S7" s="105">
        <v>5928</v>
      </c>
      <c r="T7" s="119"/>
      <c r="U7" s="104">
        <v>1407</v>
      </c>
      <c r="V7" s="105">
        <v>3719</v>
      </c>
      <c r="W7" s="119"/>
      <c r="X7" s="105">
        <v>3197</v>
      </c>
      <c r="Y7" s="105">
        <v>2209</v>
      </c>
      <c r="Z7" s="13"/>
      <c r="AA7" s="105">
        <v>666</v>
      </c>
      <c r="AB7" s="105">
        <v>1408</v>
      </c>
      <c r="AC7" s="13"/>
      <c r="AD7" s="105">
        <v>2531</v>
      </c>
      <c r="AE7" s="105">
        <v>801</v>
      </c>
      <c r="AF7" s="13"/>
      <c r="AG7" s="105">
        <v>893</v>
      </c>
      <c r="AH7" s="105">
        <v>689</v>
      </c>
      <c r="AI7" s="13"/>
      <c r="AJ7" s="105">
        <v>1638</v>
      </c>
      <c r="AK7" s="105">
        <v>112</v>
      </c>
      <c r="AL7" s="13"/>
      <c r="AM7" s="122" t="s">
        <v>133</v>
      </c>
      <c r="AN7" s="105">
        <v>335575</v>
      </c>
      <c r="AO7" s="105">
        <v>202252</v>
      </c>
      <c r="AP7" s="13"/>
      <c r="AQ7" s="105">
        <v>225479</v>
      </c>
      <c r="AR7" s="105">
        <v>116342</v>
      </c>
      <c r="AS7" s="13"/>
      <c r="AT7" s="105">
        <v>98395</v>
      </c>
      <c r="AU7" s="105">
        <v>50183</v>
      </c>
      <c r="AV7" s="13"/>
      <c r="AW7" s="18">
        <v>202252</v>
      </c>
      <c r="AX7" s="18">
        <v>221763</v>
      </c>
    </row>
    <row r="8" spans="1:50" x14ac:dyDescent="0.25">
      <c r="A8" s="57" t="s">
        <v>134</v>
      </c>
      <c r="B8" s="119"/>
      <c r="C8" s="123">
        <v>34637</v>
      </c>
      <c r="D8" s="112">
        <v>55928</v>
      </c>
      <c r="E8" s="119"/>
      <c r="F8" s="123">
        <v>18077</v>
      </c>
      <c r="G8" s="112">
        <v>15792</v>
      </c>
      <c r="H8" s="119"/>
      <c r="I8" s="123">
        <f>[1]Q2_2016!$C$216</f>
        <v>16560</v>
      </c>
      <c r="J8" s="112">
        <f>[1]Q2_2016!$D$216</f>
        <v>40136</v>
      </c>
      <c r="K8" s="119"/>
      <c r="L8" s="123">
        <f>[1]Q2_2016!$I$216</f>
        <v>11182</v>
      </c>
      <c r="M8" s="112">
        <f>[1]Q2_2016!$J$216</f>
        <v>18900</v>
      </c>
      <c r="N8" s="119"/>
      <c r="O8" s="123">
        <v>5378</v>
      </c>
      <c r="P8" s="112">
        <v>21236</v>
      </c>
      <c r="Q8" s="119"/>
      <c r="R8" s="123">
        <v>100293</v>
      </c>
      <c r="S8" s="112">
        <v>104957</v>
      </c>
      <c r="T8" s="119"/>
      <c r="U8" s="123">
        <v>44365</v>
      </c>
      <c r="V8" s="112">
        <v>48013</v>
      </c>
      <c r="W8" s="119"/>
      <c r="X8" s="112">
        <v>55928</v>
      </c>
      <c r="Y8" s="112">
        <v>56944</v>
      </c>
      <c r="Z8" s="13"/>
      <c r="AA8" s="112">
        <v>15792</v>
      </c>
      <c r="AB8" s="112">
        <v>13727</v>
      </c>
      <c r="AC8" s="13"/>
      <c r="AD8" s="112">
        <v>40136</v>
      </c>
      <c r="AE8" s="112">
        <v>43217</v>
      </c>
      <c r="AF8" s="13"/>
      <c r="AG8" s="112">
        <v>18900</v>
      </c>
      <c r="AH8" s="112">
        <v>29215</v>
      </c>
      <c r="AI8" s="13"/>
      <c r="AJ8" s="112">
        <v>21236</v>
      </c>
      <c r="AK8" s="112">
        <v>14002</v>
      </c>
      <c r="AL8" s="13"/>
      <c r="AM8" s="119" t="s">
        <v>130</v>
      </c>
      <c r="AN8" s="105">
        <v>1934781</v>
      </c>
      <c r="AO8" s="105">
        <v>2080675</v>
      </c>
      <c r="AP8" s="13"/>
      <c r="AQ8" s="105">
        <v>1285823</v>
      </c>
      <c r="AR8" s="105">
        <v>1191798</v>
      </c>
      <c r="AS8" s="13"/>
      <c r="AT8" s="105">
        <v>841488</v>
      </c>
      <c r="AU8" s="105">
        <v>633812</v>
      </c>
      <c r="AV8" s="13"/>
      <c r="AW8" s="18">
        <v>2080675</v>
      </c>
      <c r="AX8" s="18">
        <v>1785779</v>
      </c>
    </row>
    <row r="9" spans="1:50" x14ac:dyDescent="0.25">
      <c r="A9" s="124" t="s">
        <v>196</v>
      </c>
      <c r="C9" s="104">
        <f>SUM(C4:C8)</f>
        <v>2449817</v>
      </c>
      <c r="D9" s="105">
        <f>SUM(D4:D8)</f>
        <v>2778872</v>
      </c>
      <c r="F9" s="105">
        <f>SUM(F4:F8)</f>
        <v>997687</v>
      </c>
      <c r="G9" s="105">
        <f>SUM(G4:G8)</f>
        <v>1008145</v>
      </c>
      <c r="I9" s="104">
        <f>SUM(I4:I8)</f>
        <v>1452130</v>
      </c>
      <c r="J9" s="105">
        <f>SUM(J4:J8)</f>
        <v>1770727</v>
      </c>
      <c r="L9" s="105">
        <f>SUM(L4:L8)</f>
        <v>798407</v>
      </c>
      <c r="M9" s="105">
        <f>SUM(M4:M8)</f>
        <v>979049</v>
      </c>
      <c r="O9" s="104">
        <f>SUM(O4:O8)</f>
        <v>653723</v>
      </c>
      <c r="P9" s="105">
        <f>SUM(P4:P8)</f>
        <v>791678</v>
      </c>
      <c r="R9" s="104">
        <f>SUM(R4:R8)</f>
        <v>4175470</v>
      </c>
      <c r="S9" s="105">
        <f>SUM(S4:S8)</f>
        <v>3089592</v>
      </c>
      <c r="U9" s="104">
        <f>SUM(U4:U8)</f>
        <v>1396598</v>
      </c>
      <c r="V9" s="105">
        <f>SUM(V4:V8)</f>
        <v>1079388</v>
      </c>
      <c r="W9" s="125"/>
      <c r="X9" s="105">
        <f>SUM(X4:X8)</f>
        <v>2778872</v>
      </c>
      <c r="Y9" s="105">
        <f>SUM(Y4:Y8)</f>
        <v>2010204</v>
      </c>
      <c r="Z9" s="13"/>
      <c r="AA9" s="105">
        <f>SUM(AA4:AA8)</f>
        <v>1008145</v>
      </c>
      <c r="AB9" s="105">
        <f>SUM(AB4:AB8)</f>
        <v>760127</v>
      </c>
      <c r="AC9" s="13"/>
      <c r="AD9" s="105">
        <f>SUM(AD4:AD8)</f>
        <v>1770727</v>
      </c>
      <c r="AE9" s="105">
        <f>SUM(AE4:AE8)</f>
        <v>1250077</v>
      </c>
      <c r="AF9" s="13"/>
      <c r="AG9" s="105">
        <f>SUM(AG4:AG8)</f>
        <v>979049</v>
      </c>
      <c r="AH9" s="105">
        <f>SUM(AH4:AH8)</f>
        <v>684767</v>
      </c>
      <c r="AI9" s="13"/>
      <c r="AJ9" s="105">
        <f>SUM(AJ4:AJ8)</f>
        <v>791678</v>
      </c>
      <c r="AK9" s="105">
        <f>SUM(AK4:AK8)</f>
        <v>565310</v>
      </c>
      <c r="AL9" s="13"/>
      <c r="AM9" s="119" t="s">
        <v>132</v>
      </c>
      <c r="AN9" s="105">
        <v>5928</v>
      </c>
      <c r="AO9" s="105">
        <v>21424</v>
      </c>
      <c r="AP9" s="13"/>
      <c r="AQ9" s="105">
        <v>2209</v>
      </c>
      <c r="AR9" s="105">
        <v>15087</v>
      </c>
      <c r="AS9" s="13"/>
      <c r="AT9" s="105">
        <v>801</v>
      </c>
      <c r="AU9" s="105">
        <v>11187</v>
      </c>
      <c r="AV9" s="13"/>
      <c r="AW9" s="18">
        <v>21424</v>
      </c>
      <c r="AX9" s="18">
        <v>62003</v>
      </c>
    </row>
    <row r="10" spans="1:50" x14ac:dyDescent="0.25">
      <c r="D10" s="13"/>
      <c r="G10" s="13"/>
      <c r="J10" s="13"/>
      <c r="M10" s="13"/>
      <c r="P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19" t="s">
        <v>135</v>
      </c>
      <c r="AN10" s="105">
        <v>96346</v>
      </c>
      <c r="AO10" s="105">
        <v>82746</v>
      </c>
      <c r="AP10" s="13"/>
      <c r="AQ10" s="105">
        <v>52364</v>
      </c>
      <c r="AR10" s="105">
        <v>25216</v>
      </c>
      <c r="AS10" s="13"/>
      <c r="AT10" s="105">
        <v>40240</v>
      </c>
      <c r="AU10" s="105">
        <v>12650</v>
      </c>
      <c r="AV10" s="13"/>
      <c r="AW10" s="18">
        <v>82746</v>
      </c>
      <c r="AX10" s="18">
        <v>21554</v>
      </c>
    </row>
    <row r="11" spans="1:50" x14ac:dyDescent="0.25">
      <c r="A11" s="119"/>
      <c r="B11" s="119"/>
      <c r="C11" s="104"/>
      <c r="D11" s="105"/>
      <c r="E11" s="119"/>
      <c r="F11" s="105"/>
      <c r="G11" s="105"/>
      <c r="H11" s="119"/>
      <c r="I11" s="104"/>
      <c r="J11" s="105"/>
      <c r="K11" s="119"/>
      <c r="L11" s="105"/>
      <c r="M11" s="105"/>
      <c r="N11" s="119"/>
      <c r="O11" s="104"/>
      <c r="P11" s="105"/>
      <c r="Q11" s="119"/>
      <c r="R11" s="105"/>
      <c r="S11" s="105"/>
      <c r="T11" s="119"/>
      <c r="U11" s="105"/>
      <c r="V11" s="105"/>
      <c r="W11" s="119"/>
      <c r="X11" s="105"/>
      <c r="Y11" s="105"/>
      <c r="Z11" s="13"/>
      <c r="AA11" s="105"/>
      <c r="AB11" s="105"/>
      <c r="AC11" s="13"/>
      <c r="AD11" s="105"/>
      <c r="AE11" s="105"/>
      <c r="AF11" s="13"/>
      <c r="AG11" s="105"/>
      <c r="AH11" s="105"/>
      <c r="AI11" s="13"/>
      <c r="AJ11" s="105"/>
      <c r="AK11" s="105"/>
      <c r="AL11" s="13"/>
      <c r="AM11" s="57" t="s">
        <v>134</v>
      </c>
      <c r="AN11" s="112">
        <v>8611</v>
      </c>
      <c r="AO11" s="112">
        <v>8093</v>
      </c>
      <c r="AP11" s="13"/>
      <c r="AQ11" s="112">
        <v>4580</v>
      </c>
      <c r="AR11" s="112">
        <v>5531</v>
      </c>
      <c r="AS11" s="13"/>
      <c r="AT11" s="112">
        <v>2977</v>
      </c>
      <c r="AU11" s="112">
        <v>3686</v>
      </c>
      <c r="AV11" s="13"/>
      <c r="AW11" s="126">
        <v>8093</v>
      </c>
      <c r="AX11" s="126">
        <v>15588</v>
      </c>
    </row>
    <row r="12" spans="1:50" x14ac:dyDescent="0.25">
      <c r="D12" s="13"/>
      <c r="G12" s="13"/>
      <c r="J12" s="13"/>
      <c r="M12" s="13"/>
      <c r="P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05">
        <f>SUM(AN4:AN11)</f>
        <v>3089592</v>
      </c>
      <c r="AO12" s="105">
        <f>SUM(AO4:AO11)</f>
        <v>3779555</v>
      </c>
      <c r="AP12" s="13"/>
      <c r="AQ12" s="105">
        <f>SUM(AQ4:AQ11)</f>
        <v>2010204</v>
      </c>
      <c r="AR12" s="105">
        <f>SUM(AR4:AR11)</f>
        <v>2368393</v>
      </c>
      <c r="AS12" s="13"/>
      <c r="AT12" s="105">
        <f>SUM(AT4:AT11)</f>
        <v>1250077</v>
      </c>
      <c r="AU12" s="105">
        <f>SUM(AU4:AU11)</f>
        <v>1349942</v>
      </c>
      <c r="AV12" s="13"/>
      <c r="AW12" s="105">
        <f>SUM(AW4:AW11)</f>
        <v>3779555</v>
      </c>
      <c r="AX12" s="105">
        <f>SUM(AX4:AX11)</f>
        <v>3471504</v>
      </c>
    </row>
    <row r="13" spans="1:50" x14ac:dyDescent="0.25">
      <c r="D13" s="13"/>
      <c r="G13" s="13"/>
      <c r="J13" s="13"/>
      <c r="M13" s="13"/>
      <c r="P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</row>
    <row r="14" spans="1:50" x14ac:dyDescent="0.25">
      <c r="D14" s="13"/>
      <c r="G14" s="13"/>
      <c r="J14" s="13"/>
      <c r="M14" s="13"/>
      <c r="P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16" t="s">
        <v>86</v>
      </c>
      <c r="AN14" s="111" t="s">
        <v>197</v>
      </c>
      <c r="AO14" s="111" t="s">
        <v>198</v>
      </c>
      <c r="AP14" s="13"/>
      <c r="AQ14" s="111" t="s">
        <v>199</v>
      </c>
      <c r="AR14" s="111" t="s">
        <v>200</v>
      </c>
      <c r="AS14" s="13"/>
      <c r="AT14" s="111" t="s">
        <v>201</v>
      </c>
      <c r="AU14" s="111" t="s">
        <v>202</v>
      </c>
      <c r="AV14" s="13"/>
      <c r="AW14" s="13"/>
      <c r="AX14" s="13"/>
    </row>
    <row r="15" spans="1:50" x14ac:dyDescent="0.25">
      <c r="D15" s="13"/>
      <c r="G15" s="13"/>
      <c r="J15" s="13"/>
      <c r="M15" s="13"/>
      <c r="P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18" t="s">
        <v>128</v>
      </c>
      <c r="AN15" s="106">
        <v>63753</v>
      </c>
      <c r="AO15" s="106">
        <v>83342</v>
      </c>
      <c r="AP15" s="13"/>
      <c r="AQ15" s="106">
        <v>42876</v>
      </c>
      <c r="AR15" s="106">
        <v>57328</v>
      </c>
      <c r="AS15" s="13"/>
      <c r="AT15" s="106">
        <v>38079</v>
      </c>
      <c r="AU15" s="106">
        <v>85570</v>
      </c>
      <c r="AV15" s="13"/>
      <c r="AW15" s="13"/>
      <c r="AX15" s="13"/>
    </row>
    <row r="16" spans="1:50" x14ac:dyDescent="0.25">
      <c r="D16" s="13"/>
      <c r="G16" s="13"/>
      <c r="J16" s="13"/>
      <c r="M16" s="13"/>
      <c r="P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19" t="s">
        <v>129</v>
      </c>
      <c r="AN16" s="105">
        <v>168682</v>
      </c>
      <c r="AO16" s="105">
        <v>118223</v>
      </c>
      <c r="AP16" s="13"/>
      <c r="AQ16" s="105">
        <v>108610</v>
      </c>
      <c r="AR16" s="105">
        <v>127955</v>
      </c>
      <c r="AS16" s="13"/>
      <c r="AT16" s="105">
        <v>80950</v>
      </c>
      <c r="AU16" s="105">
        <v>163507</v>
      </c>
      <c r="AV16" s="13"/>
      <c r="AW16" s="13"/>
      <c r="AX16" s="13"/>
    </row>
    <row r="17" spans="4:50" x14ac:dyDescent="0.25">
      <c r="D17" s="13"/>
      <c r="G17" s="13"/>
      <c r="J17" s="13"/>
      <c r="M17" s="13"/>
      <c r="P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19" t="s">
        <v>131</v>
      </c>
      <c r="AN17" s="105">
        <v>36167</v>
      </c>
      <c r="AO17" s="105">
        <v>168381</v>
      </c>
      <c r="AP17" s="13"/>
      <c r="AQ17" s="105">
        <v>22087</v>
      </c>
      <c r="AR17" s="105">
        <v>190712</v>
      </c>
      <c r="AS17" s="13"/>
      <c r="AT17" s="105">
        <v>14859</v>
      </c>
      <c r="AU17" s="105">
        <v>125306</v>
      </c>
      <c r="AV17" s="13"/>
      <c r="AW17" s="13"/>
      <c r="AX17" s="13"/>
    </row>
    <row r="18" spans="4:50" ht="15.75" x14ac:dyDescent="0.25">
      <c r="D18" s="13"/>
      <c r="G18" s="13"/>
      <c r="J18" s="13"/>
      <c r="M18" s="13"/>
      <c r="P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22" t="s">
        <v>133</v>
      </c>
      <c r="AN18" s="105">
        <v>110096</v>
      </c>
      <c r="AO18" s="105">
        <v>85910</v>
      </c>
      <c r="AP18" s="13"/>
      <c r="AQ18" s="105">
        <v>127084</v>
      </c>
      <c r="AR18" s="105">
        <v>66159</v>
      </c>
      <c r="AS18" s="13"/>
      <c r="AT18" s="105">
        <v>59329</v>
      </c>
      <c r="AU18" s="105">
        <v>34264</v>
      </c>
      <c r="AV18" s="13"/>
      <c r="AW18" s="13"/>
      <c r="AX18" s="13"/>
    </row>
    <row r="19" spans="4:50" x14ac:dyDescent="0.25">
      <c r="D19" s="13"/>
      <c r="G19" s="13"/>
      <c r="J19" s="13"/>
      <c r="M19" s="13"/>
      <c r="P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19" t="s">
        <v>130</v>
      </c>
      <c r="AN19" s="105">
        <v>648958</v>
      </c>
      <c r="AO19" s="105">
        <v>888877</v>
      </c>
      <c r="AP19" s="13"/>
      <c r="AQ19" s="105">
        <v>444335</v>
      </c>
      <c r="AR19" s="105">
        <v>557986</v>
      </c>
      <c r="AS19" s="13"/>
      <c r="AT19" s="105">
        <v>461646</v>
      </c>
      <c r="AU19" s="105">
        <v>387828</v>
      </c>
      <c r="AV19" s="13"/>
      <c r="AW19" s="13"/>
      <c r="AX19" s="13"/>
    </row>
    <row r="20" spans="4:50" x14ac:dyDescent="0.25">
      <c r="D20" s="13"/>
      <c r="G20" s="13"/>
      <c r="J20" s="13"/>
      <c r="M20" s="13"/>
      <c r="P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19" t="s">
        <v>132</v>
      </c>
      <c r="AN20" s="105">
        <v>3719</v>
      </c>
      <c r="AO20" s="105">
        <v>6337</v>
      </c>
      <c r="AP20" s="13"/>
      <c r="AQ20" s="105">
        <v>1408</v>
      </c>
      <c r="AR20" s="105">
        <v>3900</v>
      </c>
      <c r="AS20" s="13"/>
      <c r="AT20" s="105">
        <v>689</v>
      </c>
      <c r="AU20" s="105">
        <v>5851</v>
      </c>
      <c r="AV20" s="13"/>
      <c r="AW20" s="13"/>
      <c r="AX20" s="13"/>
    </row>
    <row r="21" spans="4:50" x14ac:dyDescent="0.25">
      <c r="D21" s="13"/>
      <c r="G21" s="13"/>
      <c r="J21" s="13"/>
      <c r="M21" s="13"/>
      <c r="P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19" t="s">
        <v>135</v>
      </c>
      <c r="AN21" s="105">
        <v>43982</v>
      </c>
      <c r="AO21" s="105">
        <v>57530</v>
      </c>
      <c r="AP21" s="13"/>
      <c r="AQ21" s="105">
        <v>12124</v>
      </c>
      <c r="AR21" s="105">
        <v>12566</v>
      </c>
      <c r="AS21" s="13"/>
      <c r="AT21" s="105">
        <v>27375</v>
      </c>
      <c r="AU21" s="105">
        <v>5941</v>
      </c>
      <c r="AV21" s="13"/>
      <c r="AW21" s="13"/>
      <c r="AX21" s="13"/>
    </row>
    <row r="22" spans="4:50" x14ac:dyDescent="0.25">
      <c r="D22" s="13"/>
      <c r="G22" s="13"/>
      <c r="J22" s="13"/>
      <c r="M22" s="13"/>
      <c r="P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57" t="s">
        <v>134</v>
      </c>
      <c r="AN22" s="105">
        <v>4031</v>
      </c>
      <c r="AO22" s="112">
        <v>2562</v>
      </c>
      <c r="AP22" s="13"/>
      <c r="AQ22" s="112">
        <v>1603</v>
      </c>
      <c r="AR22" s="112">
        <v>1845</v>
      </c>
      <c r="AS22" s="13"/>
      <c r="AT22" s="127">
        <v>1840</v>
      </c>
      <c r="AU22" s="127">
        <v>820</v>
      </c>
      <c r="AV22" s="13"/>
      <c r="AW22" s="13"/>
      <c r="AX22" s="13"/>
    </row>
    <row r="23" spans="4:50" x14ac:dyDescent="0.25">
      <c r="D23" s="13"/>
      <c r="G23" s="13"/>
      <c r="J23" s="13"/>
      <c r="M23" s="13"/>
      <c r="P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16"/>
      <c r="AN23" s="128">
        <f>SUM(AN15:AN22)</f>
        <v>1079388</v>
      </c>
      <c r="AO23" s="128">
        <f>SUM(AO15:AO22)</f>
        <v>1411162</v>
      </c>
      <c r="AP23" s="13"/>
      <c r="AQ23" s="128">
        <f>SUM(AQ15:AQ22)</f>
        <v>760127</v>
      </c>
      <c r="AR23" s="128">
        <f>SUM(AR15:AR22)</f>
        <v>1018451</v>
      </c>
      <c r="AS23" s="13"/>
      <c r="AT23" s="128">
        <f>SUM(AT15:AT22)</f>
        <v>684767</v>
      </c>
      <c r="AU23" s="128">
        <f>SUM(AU15:AU22)</f>
        <v>809087</v>
      </c>
      <c r="AV23" s="13"/>
      <c r="AW23" s="13"/>
      <c r="AX23" s="13"/>
    </row>
  </sheetData>
  <customSheetViews>
    <customSheetView guid="{77EFF5B1-32BE-4080-9902-B97F43099026}">
      <pageMargins left="0.7" right="0.7" top="0.75" bottom="0.75" header="0.3" footer="0.3"/>
    </customSheetView>
    <customSheetView guid="{AAA495E0-27FD-4941-85B8-9038B6AD4FA3}">
      <selection activeCell="A14" sqref="A14"/>
      <pageMargins left="0.7" right="0.7" top="0.75" bottom="0.75" header="0.3" footer="0.3"/>
    </customSheetView>
    <customSheetView guid="{874BA5F8-BD95-4DDF-8F31-98DB154CA965}">
      <selection activeCell="A14" sqref="A14"/>
      <pageMargins left="0.7" right="0.7" top="0.75" bottom="0.75" header="0.3" footer="0.3"/>
    </customSheetView>
    <customSheetView guid="{627AEB6E-B9F1-415E-9A60-881757A50C67}">
      <selection activeCell="A14" sqref="A14"/>
      <pageMargins left="0.7" right="0.7" top="0.75" bottom="0.75" header="0.3" footer="0.3"/>
    </customSheetView>
  </customSheetViews>
  <mergeCells count="4">
    <mergeCell ref="X2:Y2"/>
    <mergeCell ref="AA2:AB2"/>
    <mergeCell ref="AD2:AE2"/>
    <mergeCell ref="AG2:A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D38"/>
  <sheetViews>
    <sheetView zoomScale="85" zoomScaleNormal="85" workbookViewId="0">
      <selection activeCell="I18" sqref="I18"/>
    </sheetView>
  </sheetViews>
  <sheetFormatPr defaultRowHeight="15" x14ac:dyDescent="0.25"/>
  <cols>
    <col min="1" max="1" width="90.28515625" style="144" customWidth="1"/>
    <col min="2" max="2" width="8.140625" style="144" customWidth="1"/>
    <col min="3" max="3" width="23.5703125" style="144" customWidth="1"/>
    <col min="4" max="4" width="25.140625" style="144" customWidth="1"/>
    <col min="5" max="16384" width="9.140625" style="144"/>
  </cols>
  <sheetData>
    <row r="1" spans="1:4" ht="20.25" x14ac:dyDescent="0.25">
      <c r="A1" s="142" t="s">
        <v>203</v>
      </c>
      <c r="B1" s="213"/>
      <c r="C1" s="214"/>
      <c r="D1" s="214"/>
    </row>
    <row r="2" spans="1:4" ht="63.75" x14ac:dyDescent="0.25">
      <c r="A2" s="145" t="s">
        <v>86</v>
      </c>
      <c r="B2" s="146" t="s">
        <v>204</v>
      </c>
      <c r="C2" s="137" t="s">
        <v>548</v>
      </c>
      <c r="D2" s="137" t="s">
        <v>549</v>
      </c>
    </row>
    <row r="3" spans="1:4" x14ac:dyDescent="0.25">
      <c r="A3" s="182"/>
      <c r="B3" s="132"/>
      <c r="C3" s="156"/>
      <c r="D3" s="156"/>
    </row>
    <row r="4" spans="1:4" x14ac:dyDescent="0.25">
      <c r="A4" s="215" t="s">
        <v>205</v>
      </c>
      <c r="B4" s="132">
        <v>11</v>
      </c>
      <c r="C4" s="162">
        <v>13123745</v>
      </c>
      <c r="D4" s="162">
        <v>13634241</v>
      </c>
    </row>
    <row r="5" spans="1:4" x14ac:dyDescent="0.25">
      <c r="A5" s="215" t="s">
        <v>206</v>
      </c>
      <c r="B5" s="132">
        <v>12</v>
      </c>
      <c r="C5" s="162">
        <v>-11823168</v>
      </c>
      <c r="D5" s="162">
        <v>-11247977</v>
      </c>
    </row>
    <row r="6" spans="1:4" x14ac:dyDescent="0.25">
      <c r="A6" s="182" t="s">
        <v>207</v>
      </c>
      <c r="B6" s="132"/>
      <c r="C6" s="216">
        <v>1300577</v>
      </c>
      <c r="D6" s="216">
        <v>2386264</v>
      </c>
    </row>
    <row r="7" spans="1:4" x14ac:dyDescent="0.25">
      <c r="A7" s="215" t="s">
        <v>208</v>
      </c>
      <c r="B7" s="132">
        <v>12</v>
      </c>
      <c r="C7" s="162">
        <v>-332826</v>
      </c>
      <c r="D7" s="162">
        <v>-359945</v>
      </c>
    </row>
    <row r="8" spans="1:4" x14ac:dyDescent="0.25">
      <c r="A8" s="215" t="s">
        <v>209</v>
      </c>
      <c r="B8" s="132">
        <v>12</v>
      </c>
      <c r="C8" s="162">
        <v>-472789</v>
      </c>
      <c r="D8" s="162">
        <v>-466493</v>
      </c>
    </row>
    <row r="9" spans="1:4" x14ac:dyDescent="0.25">
      <c r="A9" s="215" t="s">
        <v>210</v>
      </c>
      <c r="B9" s="132">
        <v>40</v>
      </c>
      <c r="C9" s="162">
        <v>27979</v>
      </c>
      <c r="D9" s="162">
        <v>-27566</v>
      </c>
    </row>
    <row r="10" spans="1:4" x14ac:dyDescent="0.25">
      <c r="A10" s="217" t="s">
        <v>211</v>
      </c>
      <c r="B10" s="129"/>
      <c r="C10" s="218">
        <v>522941</v>
      </c>
      <c r="D10" s="218">
        <v>1532260</v>
      </c>
    </row>
    <row r="11" spans="1:4" x14ac:dyDescent="0.25">
      <c r="A11" s="219" t="s">
        <v>212</v>
      </c>
      <c r="B11" s="134">
        <v>20</v>
      </c>
      <c r="C11" s="220">
        <v>78338</v>
      </c>
      <c r="D11" s="220">
        <v>310</v>
      </c>
    </row>
    <row r="12" spans="1:4" x14ac:dyDescent="0.25">
      <c r="A12" s="219" t="s">
        <v>214</v>
      </c>
      <c r="B12" s="134">
        <v>13</v>
      </c>
      <c r="C12" s="221">
        <v>-200606</v>
      </c>
      <c r="D12" s="221">
        <v>-219275</v>
      </c>
    </row>
    <row r="13" spans="1:4" x14ac:dyDescent="0.25">
      <c r="A13" s="219" t="s">
        <v>533</v>
      </c>
      <c r="B13" s="134">
        <v>13</v>
      </c>
      <c r="C13" s="221">
        <v>-31129</v>
      </c>
      <c r="D13" s="221">
        <v>384</v>
      </c>
    </row>
    <row r="14" spans="1:4" x14ac:dyDescent="0.25">
      <c r="A14" s="222" t="s">
        <v>215</v>
      </c>
      <c r="B14" s="134"/>
      <c r="C14" s="220">
        <v>369544</v>
      </c>
      <c r="D14" s="220">
        <v>1313679</v>
      </c>
    </row>
    <row r="15" spans="1:4" x14ac:dyDescent="0.25">
      <c r="A15" s="215" t="s">
        <v>216</v>
      </c>
      <c r="B15" s="132">
        <v>14</v>
      </c>
      <c r="C15" s="162">
        <v>-93412</v>
      </c>
      <c r="D15" s="162">
        <v>-234524</v>
      </c>
    </row>
    <row r="16" spans="1:4" x14ac:dyDescent="0.25">
      <c r="A16" s="217" t="s">
        <v>217</v>
      </c>
      <c r="B16" s="129"/>
      <c r="C16" s="218">
        <v>276132</v>
      </c>
      <c r="D16" s="218">
        <v>1079155</v>
      </c>
    </row>
    <row r="17" spans="1:4" x14ac:dyDescent="0.25">
      <c r="A17" s="183"/>
      <c r="B17" s="129"/>
      <c r="C17" s="129"/>
      <c r="D17" s="129"/>
    </row>
    <row r="18" spans="1:4" x14ac:dyDescent="0.25">
      <c r="A18" s="223" t="s">
        <v>218</v>
      </c>
      <c r="B18" s="130"/>
      <c r="C18" s="162">
        <v>83938</v>
      </c>
      <c r="D18" s="162">
        <v>62054</v>
      </c>
    </row>
    <row r="19" spans="1:4" x14ac:dyDescent="0.25">
      <c r="A19" s="219" t="s">
        <v>219</v>
      </c>
      <c r="B19" s="130"/>
      <c r="C19" s="162">
        <v>2543</v>
      </c>
      <c r="D19" s="162">
        <v>287</v>
      </c>
    </row>
    <row r="20" spans="1:4" x14ac:dyDescent="0.25">
      <c r="A20" s="219" t="s">
        <v>220</v>
      </c>
      <c r="B20" s="224">
        <v>14</v>
      </c>
      <c r="C20" s="162">
        <v>-15948</v>
      </c>
      <c r="D20" s="162">
        <v>-11790</v>
      </c>
    </row>
    <row r="21" spans="1:4" x14ac:dyDescent="0.25">
      <c r="A21" s="225" t="s">
        <v>221</v>
      </c>
      <c r="B21" s="224"/>
      <c r="C21" s="216">
        <v>70533</v>
      </c>
      <c r="D21" s="216">
        <v>50551</v>
      </c>
    </row>
    <row r="22" spans="1:4" x14ac:dyDescent="0.25">
      <c r="A22" s="219"/>
      <c r="B22" s="224"/>
      <c r="C22" s="216"/>
      <c r="D22" s="216"/>
    </row>
    <row r="23" spans="1:4" x14ac:dyDescent="0.25">
      <c r="A23" s="219" t="s">
        <v>222</v>
      </c>
      <c r="B23" s="224"/>
      <c r="C23" s="162">
        <v>-265</v>
      </c>
      <c r="D23" s="162">
        <v>1729</v>
      </c>
    </row>
    <row r="24" spans="1:4" x14ac:dyDescent="0.25">
      <c r="A24" s="219" t="s">
        <v>220</v>
      </c>
      <c r="B24" s="224">
        <v>14</v>
      </c>
      <c r="C24" s="162">
        <v>50</v>
      </c>
      <c r="D24" s="162">
        <v>-327</v>
      </c>
    </row>
    <row r="25" spans="1:4" x14ac:dyDescent="0.25">
      <c r="A25" s="219" t="s">
        <v>223</v>
      </c>
      <c r="B25" s="130"/>
      <c r="C25" s="162">
        <v>75</v>
      </c>
      <c r="D25" s="162">
        <v>0</v>
      </c>
    </row>
    <row r="26" spans="1:4" x14ac:dyDescent="0.25">
      <c r="A26" s="225" t="s">
        <v>224</v>
      </c>
      <c r="B26" s="130"/>
      <c r="C26" s="216">
        <v>-140</v>
      </c>
      <c r="D26" s="216">
        <v>1402</v>
      </c>
    </row>
    <row r="27" spans="1:4" x14ac:dyDescent="0.25">
      <c r="A27" s="210"/>
      <c r="B27" s="130"/>
      <c r="C27" s="216"/>
      <c r="D27" s="216"/>
    </row>
    <row r="28" spans="1:4" x14ac:dyDescent="0.25">
      <c r="A28" s="226" t="s">
        <v>225</v>
      </c>
      <c r="B28" s="130"/>
      <c r="C28" s="216">
        <v>70393</v>
      </c>
      <c r="D28" s="216">
        <v>51953</v>
      </c>
    </row>
    <row r="29" spans="1:4" x14ac:dyDescent="0.25">
      <c r="A29" s="147" t="s">
        <v>226</v>
      </c>
      <c r="B29" s="131"/>
      <c r="C29" s="227">
        <v>346525</v>
      </c>
      <c r="D29" s="227">
        <v>1131108</v>
      </c>
    </row>
    <row r="30" spans="1:4" x14ac:dyDescent="0.25">
      <c r="A30" s="183"/>
      <c r="B30" s="132"/>
      <c r="C30" s="203"/>
      <c r="D30" s="203"/>
    </row>
    <row r="31" spans="1:4" x14ac:dyDescent="0.25">
      <c r="A31" s="184" t="s">
        <v>227</v>
      </c>
      <c r="B31" s="133"/>
    </row>
    <row r="32" spans="1:4" x14ac:dyDescent="0.25">
      <c r="A32" s="228" t="s">
        <v>228</v>
      </c>
      <c r="B32" s="134"/>
      <c r="C32" s="205">
        <v>274283</v>
      </c>
      <c r="D32" s="205">
        <v>1076641</v>
      </c>
    </row>
    <row r="33" spans="1:4" x14ac:dyDescent="0.25">
      <c r="A33" s="228" t="s">
        <v>229</v>
      </c>
      <c r="B33" s="134"/>
      <c r="C33" s="156">
        <v>1849</v>
      </c>
      <c r="D33" s="156">
        <v>2514</v>
      </c>
    </row>
    <row r="34" spans="1:4" x14ac:dyDescent="0.25">
      <c r="A34" s="210" t="s">
        <v>230</v>
      </c>
      <c r="B34" s="134"/>
      <c r="C34" s="156"/>
      <c r="D34" s="156"/>
    </row>
    <row r="35" spans="1:4" x14ac:dyDescent="0.25">
      <c r="A35" s="228" t="s">
        <v>228</v>
      </c>
      <c r="B35" s="134"/>
      <c r="C35" s="205">
        <v>344676</v>
      </c>
      <c r="D35" s="205">
        <v>1128581</v>
      </c>
    </row>
    <row r="36" spans="1:4" x14ac:dyDescent="0.25">
      <c r="A36" s="229" t="s">
        <v>229</v>
      </c>
      <c r="B36" s="135"/>
      <c r="C36" s="156">
        <v>1849</v>
      </c>
      <c r="D36" s="156">
        <v>2527</v>
      </c>
    </row>
    <row r="37" spans="1:4" x14ac:dyDescent="0.25">
      <c r="A37" s="183"/>
      <c r="B37" s="136"/>
      <c r="C37" s="129"/>
      <c r="D37" s="129"/>
    </row>
    <row r="38" spans="1:4" x14ac:dyDescent="0.25">
      <c r="A38" s="147" t="s">
        <v>231</v>
      </c>
      <c r="B38" s="203"/>
      <c r="C38" s="230">
        <v>0.16</v>
      </c>
      <c r="D38" s="230">
        <v>0.61</v>
      </c>
    </row>
  </sheetData>
  <customSheetViews>
    <customSheetView guid="{77EFF5B1-32BE-4080-9902-B97F43099026}" scale="85">
      <selection activeCell="I18" sqref="I18"/>
      <pageMargins left="0.7" right="0.7" top="0.75" bottom="0.75" header="0.3" footer="0.3"/>
    </customSheetView>
    <customSheetView guid="{AAA495E0-27FD-4941-85B8-9038B6AD4FA3}" scale="85" showPageBreaks="1" fitToPage="1" topLeftCell="A13">
      <selection activeCell="C30" sqref="C30"/>
      <pageMargins left="0.7" right="0.7" top="0.75" bottom="0.75" header="0.3" footer="0.3"/>
      <pageSetup paperSize="9" scale="59" orientation="portrait" r:id="rId1"/>
    </customSheetView>
    <customSheetView guid="{874BA5F8-BD95-4DDF-8F31-98DB154CA965}" scale="85">
      <selection activeCell="D39" sqref="D39"/>
      <pageMargins left="0.7" right="0.7" top="0.75" bottom="0.75" header="0.3" footer="0.3"/>
    </customSheetView>
    <customSheetView guid="{627AEB6E-B9F1-415E-9A60-881757A50C67}" scale="85">
      <selection activeCell="I18" sqref="I18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D65"/>
  <sheetViews>
    <sheetView topLeftCell="A26" zoomScale="90" zoomScaleNormal="90" workbookViewId="0">
      <selection activeCell="D66" sqref="D66"/>
    </sheetView>
  </sheetViews>
  <sheetFormatPr defaultRowHeight="15" x14ac:dyDescent="0.25"/>
  <cols>
    <col min="1" max="1" width="76.85546875" style="144" customWidth="1"/>
    <col min="2" max="2" width="9.140625" style="144"/>
    <col min="3" max="3" width="19.7109375" style="144" customWidth="1"/>
    <col min="4" max="4" width="21" style="144" customWidth="1"/>
    <col min="5" max="16384" width="9.140625" style="144"/>
  </cols>
  <sheetData>
    <row r="1" spans="1:4" ht="20.25" x14ac:dyDescent="0.25">
      <c r="A1" s="142" t="s">
        <v>232</v>
      </c>
      <c r="B1" s="180"/>
      <c r="C1" s="143"/>
      <c r="D1" s="143"/>
    </row>
    <row r="2" spans="1:4" ht="63.75" x14ac:dyDescent="0.25">
      <c r="A2" s="181" t="s">
        <v>86</v>
      </c>
      <c r="B2" s="146" t="s">
        <v>233</v>
      </c>
      <c r="C2" s="146" t="s">
        <v>547</v>
      </c>
      <c r="D2" s="137" t="s">
        <v>234</v>
      </c>
    </row>
    <row r="3" spans="1:4" x14ac:dyDescent="0.25">
      <c r="A3" s="182" t="s">
        <v>235</v>
      </c>
      <c r="B3" s="132"/>
      <c r="C3" s="183"/>
      <c r="D3" s="183"/>
    </row>
    <row r="4" spans="1:4" x14ac:dyDescent="0.25">
      <c r="A4" s="184" t="s">
        <v>236</v>
      </c>
      <c r="B4" s="133"/>
      <c r="C4" s="185"/>
      <c r="D4" s="185"/>
    </row>
    <row r="5" spans="1:4" x14ac:dyDescent="0.25">
      <c r="A5" s="186" t="s">
        <v>237</v>
      </c>
      <c r="B5" s="187">
        <v>16</v>
      </c>
      <c r="C5" s="188">
        <v>25637117</v>
      </c>
      <c r="D5" s="188">
        <v>24882817</v>
      </c>
    </row>
    <row r="6" spans="1:4" x14ac:dyDescent="0.25">
      <c r="A6" s="186" t="s">
        <v>238</v>
      </c>
      <c r="B6" s="187">
        <v>17</v>
      </c>
      <c r="C6" s="188">
        <v>40156</v>
      </c>
      <c r="D6" s="188">
        <v>92059</v>
      </c>
    </row>
    <row r="7" spans="1:4" x14ac:dyDescent="0.25">
      <c r="A7" s="186" t="s">
        <v>239</v>
      </c>
      <c r="B7" s="187" t="s">
        <v>534</v>
      </c>
      <c r="C7" s="188">
        <v>119502</v>
      </c>
      <c r="D7" s="188">
        <v>510840</v>
      </c>
    </row>
    <row r="8" spans="1:4" x14ac:dyDescent="0.25">
      <c r="A8" s="186" t="s">
        <v>240</v>
      </c>
      <c r="B8" s="187">
        <v>19</v>
      </c>
      <c r="C8" s="188">
        <v>1212099</v>
      </c>
      <c r="D8" s="188">
        <v>1182765</v>
      </c>
    </row>
    <row r="9" spans="1:4" x14ac:dyDescent="0.25">
      <c r="A9" s="186" t="s">
        <v>241</v>
      </c>
      <c r="B9" s="189">
        <v>20</v>
      </c>
      <c r="C9" s="188">
        <v>474615</v>
      </c>
      <c r="D9" s="188">
        <v>418127</v>
      </c>
    </row>
    <row r="10" spans="1:4" x14ac:dyDescent="0.25">
      <c r="A10" s="186" t="s">
        <v>242</v>
      </c>
      <c r="B10" s="189">
        <v>21</v>
      </c>
      <c r="C10" s="188">
        <v>227883</v>
      </c>
      <c r="D10" s="188">
        <v>221803</v>
      </c>
    </row>
    <row r="11" spans="1:4" x14ac:dyDescent="0.25">
      <c r="A11" s="186" t="s">
        <v>243</v>
      </c>
      <c r="B11" s="187">
        <v>22</v>
      </c>
      <c r="C11" s="188">
        <v>243550</v>
      </c>
      <c r="D11" s="188">
        <v>211215</v>
      </c>
    </row>
    <row r="12" spans="1:4" x14ac:dyDescent="0.25">
      <c r="A12" s="186" t="s">
        <v>244</v>
      </c>
      <c r="B12" s="187" t="s">
        <v>535</v>
      </c>
      <c r="C12" s="188">
        <v>465787</v>
      </c>
      <c r="D12" s="188">
        <v>550375</v>
      </c>
    </row>
    <row r="13" spans="1:4" x14ac:dyDescent="0.25">
      <c r="A13" s="190" t="s">
        <v>245</v>
      </c>
      <c r="B13" s="191" t="s">
        <v>536</v>
      </c>
      <c r="C13" s="188">
        <v>65758</v>
      </c>
      <c r="D13" s="188">
        <v>54184</v>
      </c>
    </row>
    <row r="14" spans="1:4" x14ac:dyDescent="0.25">
      <c r="A14" s="183"/>
      <c r="B14" s="183"/>
      <c r="C14" s="192">
        <v>28486467</v>
      </c>
      <c r="D14" s="192">
        <v>28124185</v>
      </c>
    </row>
    <row r="15" spans="1:4" x14ac:dyDescent="0.25">
      <c r="A15" s="184" t="s">
        <v>246</v>
      </c>
      <c r="B15" s="133"/>
      <c r="C15" s="188"/>
      <c r="D15" s="188"/>
    </row>
    <row r="16" spans="1:4" x14ac:dyDescent="0.25">
      <c r="A16" s="186" t="s">
        <v>239</v>
      </c>
      <c r="B16" s="193" t="s">
        <v>537</v>
      </c>
      <c r="C16" s="188">
        <v>714412</v>
      </c>
      <c r="D16" s="188">
        <v>805388</v>
      </c>
    </row>
    <row r="17" spans="1:4" x14ac:dyDescent="0.25">
      <c r="A17" s="186" t="s">
        <v>247</v>
      </c>
      <c r="B17" s="193">
        <v>24</v>
      </c>
      <c r="C17" s="188">
        <v>425213</v>
      </c>
      <c r="D17" s="188">
        <v>433279</v>
      </c>
    </row>
    <row r="18" spans="1:4" x14ac:dyDescent="0.25">
      <c r="A18" s="186" t="s">
        <v>248</v>
      </c>
      <c r="B18" s="193">
        <v>25</v>
      </c>
      <c r="C18" s="188">
        <v>1625916</v>
      </c>
      <c r="D18" s="188">
        <v>1830033</v>
      </c>
    </row>
    <row r="19" spans="1:4" x14ac:dyDescent="0.25">
      <c r="A19" s="186" t="s">
        <v>249</v>
      </c>
      <c r="B19" s="193">
        <v>26</v>
      </c>
      <c r="C19" s="188">
        <v>61690</v>
      </c>
      <c r="D19" s="188">
        <v>228345</v>
      </c>
    </row>
    <row r="20" spans="1:4" x14ac:dyDescent="0.25">
      <c r="A20" s="186" t="s">
        <v>243</v>
      </c>
      <c r="B20" s="193">
        <v>22</v>
      </c>
      <c r="C20" s="188">
        <v>193216</v>
      </c>
      <c r="D20" s="188">
        <v>34334</v>
      </c>
    </row>
    <row r="21" spans="1:4" x14ac:dyDescent="0.25">
      <c r="A21" s="186" t="s">
        <v>244</v>
      </c>
      <c r="B21" s="193" t="s">
        <v>538</v>
      </c>
      <c r="C21" s="188">
        <v>134842</v>
      </c>
      <c r="D21" s="188">
        <v>233059</v>
      </c>
    </row>
    <row r="22" spans="1:4" x14ac:dyDescent="0.25">
      <c r="A22" s="186" t="s">
        <v>250</v>
      </c>
      <c r="B22" s="194">
        <v>27</v>
      </c>
      <c r="C22" s="188">
        <v>261017</v>
      </c>
      <c r="D22" s="188">
        <v>364912</v>
      </c>
    </row>
    <row r="23" spans="1:4" x14ac:dyDescent="0.25">
      <c r="A23" s="195" t="s">
        <v>251</v>
      </c>
      <c r="B23" s="194"/>
      <c r="C23" s="188">
        <v>10913</v>
      </c>
      <c r="D23" s="188">
        <v>17898</v>
      </c>
    </row>
    <row r="24" spans="1:4" x14ac:dyDescent="0.25">
      <c r="A24" s="196"/>
      <c r="B24" s="136"/>
      <c r="C24" s="192">
        <v>3427219</v>
      </c>
      <c r="D24" s="192">
        <v>3947248</v>
      </c>
    </row>
    <row r="25" spans="1:4" x14ac:dyDescent="0.25">
      <c r="A25" s="183"/>
      <c r="B25" s="132"/>
      <c r="C25" s="156"/>
      <c r="D25" s="156"/>
    </row>
    <row r="26" spans="1:4" x14ac:dyDescent="0.25">
      <c r="A26" s="197" t="s">
        <v>252</v>
      </c>
      <c r="B26" s="198"/>
      <c r="C26" s="160">
        <v>31913686</v>
      </c>
      <c r="D26" s="160">
        <v>32071433</v>
      </c>
    </row>
    <row r="27" spans="1:4" x14ac:dyDescent="0.25">
      <c r="A27" s="183"/>
      <c r="B27" s="132"/>
      <c r="C27" s="156"/>
      <c r="D27" s="156"/>
    </row>
    <row r="28" spans="1:4" x14ac:dyDescent="0.25">
      <c r="A28" s="199" t="s">
        <v>253</v>
      </c>
      <c r="B28" s="200"/>
      <c r="C28" s="201"/>
      <c r="D28" s="201"/>
    </row>
    <row r="29" spans="1:4" x14ac:dyDescent="0.25">
      <c r="A29" s="182" t="s">
        <v>254</v>
      </c>
      <c r="B29" s="132"/>
      <c r="C29" s="156"/>
      <c r="D29" s="156"/>
    </row>
    <row r="30" spans="1:4" x14ac:dyDescent="0.25">
      <c r="A30" s="183" t="s">
        <v>255</v>
      </c>
      <c r="B30" s="132" t="s">
        <v>539</v>
      </c>
      <c r="C30" s="188">
        <v>8762747</v>
      </c>
      <c r="D30" s="188">
        <v>8762747</v>
      </c>
    </row>
    <row r="31" spans="1:4" x14ac:dyDescent="0.25">
      <c r="A31" s="183" t="s">
        <v>256</v>
      </c>
      <c r="B31" s="132" t="s">
        <v>540</v>
      </c>
      <c r="C31" s="188">
        <v>7823339</v>
      </c>
      <c r="D31" s="188">
        <v>11277247</v>
      </c>
    </row>
    <row r="32" spans="1:4" x14ac:dyDescent="0.25">
      <c r="A32" s="183" t="s">
        <v>257</v>
      </c>
      <c r="B32" s="132" t="s">
        <v>541</v>
      </c>
      <c r="C32" s="169">
        <v>-5424</v>
      </c>
      <c r="D32" s="169">
        <v>-73414</v>
      </c>
    </row>
    <row r="33" spans="1:4" x14ac:dyDescent="0.25">
      <c r="A33" s="183" t="s">
        <v>219</v>
      </c>
      <c r="B33" s="132"/>
      <c r="C33" s="169">
        <v>1752</v>
      </c>
      <c r="D33" s="169">
        <v>-791</v>
      </c>
    </row>
    <row r="34" spans="1:4" x14ac:dyDescent="0.25">
      <c r="A34" s="202" t="s">
        <v>258</v>
      </c>
      <c r="B34" s="203" t="s">
        <v>542</v>
      </c>
      <c r="C34" s="204">
        <v>-233429</v>
      </c>
      <c r="D34" s="204">
        <v>-3947461</v>
      </c>
    </row>
    <row r="35" spans="1:4" x14ac:dyDescent="0.25">
      <c r="A35" s="183"/>
      <c r="B35" s="132"/>
      <c r="C35" s="177">
        <v>16348985</v>
      </c>
      <c r="D35" s="177">
        <v>16018328</v>
      </c>
    </row>
    <row r="36" spans="1:4" x14ac:dyDescent="0.25">
      <c r="A36" s="183"/>
      <c r="B36" s="132"/>
      <c r="C36" s="205"/>
      <c r="D36" s="205"/>
    </row>
    <row r="37" spans="1:4" x14ac:dyDescent="0.25">
      <c r="A37" s="182" t="s">
        <v>259</v>
      </c>
      <c r="B37" s="132"/>
      <c r="C37" s="177">
        <v>28534</v>
      </c>
      <c r="D37" s="177">
        <v>29829</v>
      </c>
    </row>
    <row r="38" spans="1:4" x14ac:dyDescent="0.25">
      <c r="A38" s="183"/>
      <c r="B38" s="132"/>
      <c r="C38" s="205"/>
      <c r="D38" s="205"/>
    </row>
    <row r="39" spans="1:4" x14ac:dyDescent="0.25">
      <c r="A39" s="147" t="s">
        <v>260</v>
      </c>
      <c r="B39" s="136"/>
      <c r="C39" s="192">
        <v>16377519</v>
      </c>
      <c r="D39" s="192">
        <v>16048157</v>
      </c>
    </row>
    <row r="40" spans="1:4" x14ac:dyDescent="0.25">
      <c r="A40" s="183"/>
      <c r="B40" s="132"/>
      <c r="C40" s="188"/>
      <c r="D40" s="188"/>
    </row>
    <row r="41" spans="1:4" x14ac:dyDescent="0.25">
      <c r="A41" s="184" t="s">
        <v>261</v>
      </c>
      <c r="B41" s="133"/>
      <c r="C41" s="185"/>
      <c r="D41" s="185"/>
    </row>
    <row r="42" spans="1:4" x14ac:dyDescent="0.25">
      <c r="A42" s="186" t="s">
        <v>262</v>
      </c>
      <c r="B42" s="206">
        <v>30</v>
      </c>
      <c r="C42" s="188">
        <v>7397598</v>
      </c>
      <c r="D42" s="188">
        <v>4924127</v>
      </c>
    </row>
    <row r="43" spans="1:4" x14ac:dyDescent="0.25">
      <c r="A43" s="186" t="s">
        <v>263</v>
      </c>
      <c r="B43" s="206">
        <v>32</v>
      </c>
      <c r="C43" s="188">
        <v>1779311</v>
      </c>
      <c r="D43" s="188">
        <v>1735206</v>
      </c>
    </row>
    <row r="44" spans="1:4" x14ac:dyDescent="0.25">
      <c r="A44" s="186" t="s">
        <v>264</v>
      </c>
      <c r="B44" s="206">
        <v>33</v>
      </c>
      <c r="C44" s="188">
        <v>442299</v>
      </c>
      <c r="D44" s="188">
        <v>377372</v>
      </c>
    </row>
    <row r="45" spans="1:4" x14ac:dyDescent="0.25">
      <c r="A45" s="186" t="s">
        <v>265</v>
      </c>
      <c r="B45" s="206">
        <v>36</v>
      </c>
      <c r="C45" s="188">
        <v>628699</v>
      </c>
      <c r="D45" s="188">
        <v>650364</v>
      </c>
    </row>
    <row r="46" spans="1:4" x14ac:dyDescent="0.25">
      <c r="A46" s="186" t="s">
        <v>266</v>
      </c>
      <c r="B46" s="206" t="s">
        <v>536</v>
      </c>
      <c r="C46" s="188">
        <v>692020</v>
      </c>
      <c r="D46" s="188">
        <v>795176</v>
      </c>
    </row>
    <row r="47" spans="1:4" x14ac:dyDescent="0.25">
      <c r="A47" s="202" t="s">
        <v>267</v>
      </c>
      <c r="B47" s="207">
        <v>40</v>
      </c>
      <c r="C47" s="208">
        <v>49388</v>
      </c>
      <c r="D47" s="208">
        <v>101705</v>
      </c>
    </row>
    <row r="48" spans="1:4" x14ac:dyDescent="0.25">
      <c r="A48" s="186"/>
      <c r="B48" s="209"/>
      <c r="C48" s="177">
        <v>10989315</v>
      </c>
      <c r="D48" s="177">
        <v>8583950</v>
      </c>
    </row>
    <row r="49" spans="1:4" x14ac:dyDescent="0.25">
      <c r="A49" s="210" t="s">
        <v>268</v>
      </c>
      <c r="B49" s="211"/>
      <c r="C49" s="188"/>
      <c r="D49" s="188"/>
    </row>
    <row r="50" spans="1:4" x14ac:dyDescent="0.25">
      <c r="A50" s="186" t="s">
        <v>262</v>
      </c>
      <c r="B50" s="206">
        <v>30</v>
      </c>
      <c r="C50" s="188">
        <v>1133015</v>
      </c>
      <c r="D50" s="188">
        <v>3214520</v>
      </c>
    </row>
    <row r="51" spans="1:4" x14ac:dyDescent="0.25">
      <c r="A51" s="186" t="s">
        <v>269</v>
      </c>
      <c r="B51" s="206">
        <v>31</v>
      </c>
      <c r="C51" s="188">
        <v>105449</v>
      </c>
      <c r="D51" s="188">
        <v>96953</v>
      </c>
    </row>
    <row r="52" spans="1:4" x14ac:dyDescent="0.25">
      <c r="A52" s="186" t="s">
        <v>270</v>
      </c>
      <c r="B52" s="206"/>
      <c r="C52" s="188">
        <v>615200</v>
      </c>
      <c r="D52" s="188">
        <v>790706</v>
      </c>
    </row>
    <row r="53" spans="1:4" x14ac:dyDescent="0.25">
      <c r="A53" s="186" t="s">
        <v>271</v>
      </c>
      <c r="B53" s="206"/>
      <c r="C53" s="188">
        <v>484991</v>
      </c>
      <c r="D53" s="188">
        <v>766843</v>
      </c>
    </row>
    <row r="54" spans="1:4" x14ac:dyDescent="0.25">
      <c r="A54" s="186" t="s">
        <v>263</v>
      </c>
      <c r="B54" s="206">
        <v>32</v>
      </c>
      <c r="C54" s="188">
        <v>133730</v>
      </c>
      <c r="D54" s="188">
        <v>172505</v>
      </c>
    </row>
    <row r="55" spans="1:4" x14ac:dyDescent="0.25">
      <c r="A55" s="186" t="s">
        <v>272</v>
      </c>
      <c r="B55" s="206">
        <v>34</v>
      </c>
      <c r="C55" s="188">
        <v>790641</v>
      </c>
      <c r="D55" s="188">
        <v>1018134</v>
      </c>
    </row>
    <row r="56" spans="1:4" x14ac:dyDescent="0.25">
      <c r="A56" s="186" t="s">
        <v>273</v>
      </c>
      <c r="B56" s="206">
        <v>35</v>
      </c>
      <c r="C56" s="188">
        <v>201121</v>
      </c>
      <c r="D56" s="188">
        <v>178044</v>
      </c>
    </row>
    <row r="57" spans="1:4" x14ac:dyDescent="0.25">
      <c r="A57" s="186" t="s">
        <v>265</v>
      </c>
      <c r="B57" s="206">
        <v>36</v>
      </c>
      <c r="C57" s="188">
        <v>333967</v>
      </c>
      <c r="D57" s="188">
        <v>254337</v>
      </c>
    </row>
    <row r="58" spans="1:4" x14ac:dyDescent="0.25">
      <c r="A58" s="186" t="s">
        <v>274</v>
      </c>
      <c r="B58" s="134">
        <v>37</v>
      </c>
      <c r="C58" s="188">
        <v>301060</v>
      </c>
      <c r="D58" s="188">
        <v>429649</v>
      </c>
    </row>
    <row r="59" spans="1:4" x14ac:dyDescent="0.25">
      <c r="A59" s="212" t="s">
        <v>267</v>
      </c>
      <c r="B59" s="134"/>
      <c r="C59" s="188">
        <v>159372</v>
      </c>
      <c r="D59" s="188">
        <v>243713</v>
      </c>
    </row>
    <row r="60" spans="1:4" x14ac:dyDescent="0.25">
      <c r="A60" s="202" t="s">
        <v>275</v>
      </c>
      <c r="B60" s="207">
        <v>38</v>
      </c>
      <c r="C60" s="208">
        <v>288306</v>
      </c>
      <c r="D60" s="208">
        <v>273922</v>
      </c>
    </row>
    <row r="61" spans="1:4" x14ac:dyDescent="0.25">
      <c r="A61" s="183"/>
      <c r="B61" s="132"/>
      <c r="C61" s="177">
        <v>4546852</v>
      </c>
      <c r="D61" s="177">
        <v>7439326</v>
      </c>
    </row>
    <row r="62" spans="1:4" x14ac:dyDescent="0.25">
      <c r="A62" s="183"/>
      <c r="B62" s="132"/>
      <c r="C62" s="177"/>
      <c r="D62" s="177"/>
    </row>
    <row r="63" spans="1:4" x14ac:dyDescent="0.25">
      <c r="A63" s="147" t="s">
        <v>276</v>
      </c>
      <c r="B63" s="136"/>
      <c r="C63" s="192">
        <v>15536167</v>
      </c>
      <c r="D63" s="192">
        <v>16023276</v>
      </c>
    </row>
    <row r="64" spans="1:4" x14ac:dyDescent="0.25">
      <c r="A64" s="183"/>
      <c r="B64" s="132"/>
      <c r="C64" s="177"/>
      <c r="D64" s="177"/>
    </row>
    <row r="65" spans="1:4" x14ac:dyDescent="0.25">
      <c r="A65" s="197" t="s">
        <v>277</v>
      </c>
      <c r="B65" s="159"/>
      <c r="C65" s="160">
        <v>31913686</v>
      </c>
      <c r="D65" s="160">
        <v>32071433</v>
      </c>
    </row>
  </sheetData>
  <customSheetViews>
    <customSheetView guid="{77EFF5B1-32BE-4080-9902-B97F43099026}" scale="90" topLeftCell="A26">
      <selection activeCell="D66" sqref="D66"/>
      <pageMargins left="0.7" right="0.7" top="0.75" bottom="0.75" header="0.3" footer="0.3"/>
    </customSheetView>
    <customSheetView guid="{AAA495E0-27FD-4941-85B8-9038B6AD4FA3}" scale="90" showPageBreaks="1" fitToPage="1">
      <selection activeCell="A2" sqref="A2:D65"/>
      <pageMargins left="0.7" right="0.7" top="0.75" bottom="0.75" header="0.3" footer="0.3"/>
      <pageSetup paperSize="9" scale="68" orientation="portrait" r:id="rId1"/>
    </customSheetView>
    <customSheetView guid="{874BA5F8-BD95-4DDF-8F31-98DB154CA965}" scale="90">
      <selection activeCell="B63" sqref="B63"/>
      <pageMargins left="0.7" right="0.7" top="0.75" bottom="0.75" header="0.3" footer="0.3"/>
    </customSheetView>
    <customSheetView guid="{627AEB6E-B9F1-415E-9A60-881757A50C67}" scale="90" topLeftCell="A26">
      <selection activeCell="D66" sqref="D6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D42"/>
  <sheetViews>
    <sheetView topLeftCell="A5" zoomScale="90" zoomScaleNormal="90" workbookViewId="0">
      <selection activeCell="D45" sqref="D45"/>
    </sheetView>
  </sheetViews>
  <sheetFormatPr defaultRowHeight="15" x14ac:dyDescent="0.25"/>
  <cols>
    <col min="1" max="1" width="77.140625" style="144" bestFit="1" customWidth="1"/>
    <col min="2" max="2" width="14.7109375" style="144" customWidth="1"/>
    <col min="3" max="3" width="16.85546875" style="144" customWidth="1"/>
    <col min="4" max="4" width="19.5703125" style="144" customWidth="1"/>
    <col min="5" max="16384" width="9.140625" style="144"/>
  </cols>
  <sheetData>
    <row r="1" spans="1:4" ht="20.25" x14ac:dyDescent="0.25">
      <c r="A1" s="142" t="s">
        <v>278</v>
      </c>
      <c r="B1" s="143"/>
      <c r="C1" s="143"/>
      <c r="D1" s="143"/>
    </row>
    <row r="2" spans="1:4" ht="51" x14ac:dyDescent="0.25">
      <c r="A2" s="145" t="s">
        <v>86</v>
      </c>
      <c r="B2" s="146" t="s">
        <v>204</v>
      </c>
      <c r="C2" s="137" t="s">
        <v>529</v>
      </c>
      <c r="D2" s="137" t="s">
        <v>530</v>
      </c>
    </row>
    <row r="3" spans="1:4" x14ac:dyDescent="0.25">
      <c r="A3" s="147" t="s">
        <v>279</v>
      </c>
      <c r="B3" s="148"/>
      <c r="C3" s="149"/>
      <c r="D3" s="149"/>
    </row>
    <row r="4" spans="1:4" x14ac:dyDescent="0.25">
      <c r="A4" s="150" t="s">
        <v>215</v>
      </c>
      <c r="B4" s="151"/>
      <c r="C4" s="152">
        <v>369544</v>
      </c>
      <c r="D4" s="152">
        <v>1313679</v>
      </c>
    </row>
    <row r="5" spans="1:4" x14ac:dyDescent="0.25">
      <c r="A5" s="153" t="s">
        <v>280</v>
      </c>
      <c r="B5" s="132"/>
      <c r="C5" s="154">
        <v>-78338</v>
      </c>
      <c r="D5" s="154">
        <v>-310</v>
      </c>
    </row>
    <row r="6" spans="1:4" x14ac:dyDescent="0.25">
      <c r="A6" s="155" t="s">
        <v>281</v>
      </c>
      <c r="B6" s="148"/>
      <c r="C6" s="156">
        <v>1245251</v>
      </c>
      <c r="D6" s="156">
        <v>1314797</v>
      </c>
    </row>
    <row r="7" spans="1:4" x14ac:dyDescent="0.25">
      <c r="A7" s="155" t="s">
        <v>282</v>
      </c>
      <c r="B7" s="148" t="s">
        <v>543</v>
      </c>
      <c r="C7" s="154">
        <v>689824</v>
      </c>
      <c r="D7" s="154">
        <v>211</v>
      </c>
    </row>
    <row r="8" spans="1:4" x14ac:dyDescent="0.25">
      <c r="A8" s="155" t="s">
        <v>283</v>
      </c>
      <c r="B8" s="148"/>
      <c r="C8" s="156">
        <v>187072</v>
      </c>
      <c r="D8" s="156">
        <v>203575</v>
      </c>
    </row>
    <row r="9" spans="1:4" x14ac:dyDescent="0.25">
      <c r="A9" s="155" t="s">
        <v>284</v>
      </c>
      <c r="B9" s="148"/>
      <c r="C9" s="154">
        <v>-5969</v>
      </c>
      <c r="D9" s="154">
        <v>-11864</v>
      </c>
    </row>
    <row r="10" spans="1:4" x14ac:dyDescent="0.25">
      <c r="A10" s="157" t="s">
        <v>285</v>
      </c>
      <c r="B10" s="148" t="s">
        <v>543</v>
      </c>
      <c r="C10" s="154">
        <v>275648</v>
      </c>
      <c r="D10" s="154">
        <v>33601</v>
      </c>
    </row>
    <row r="11" spans="1:4" x14ac:dyDescent="0.25">
      <c r="A11" s="157" t="s">
        <v>286</v>
      </c>
      <c r="B11" s="148" t="s">
        <v>543</v>
      </c>
      <c r="C11" s="154">
        <v>-277678</v>
      </c>
      <c r="D11" s="154">
        <v>-70597</v>
      </c>
    </row>
    <row r="12" spans="1:4" x14ac:dyDescent="0.25">
      <c r="A12" s="158" t="s">
        <v>287</v>
      </c>
      <c r="B12" s="198"/>
      <c r="C12" s="160">
        <v>2405354</v>
      </c>
      <c r="D12" s="160">
        <v>2783092</v>
      </c>
    </row>
    <row r="13" spans="1:4" x14ac:dyDescent="0.25">
      <c r="A13" s="161" t="s">
        <v>288</v>
      </c>
      <c r="B13" s="148"/>
      <c r="C13" s="156"/>
      <c r="D13" s="156"/>
    </row>
    <row r="14" spans="1:4" x14ac:dyDescent="0.25">
      <c r="A14" s="155" t="s">
        <v>289</v>
      </c>
      <c r="B14" s="132" t="s">
        <v>544</v>
      </c>
      <c r="C14" s="154">
        <v>-2629223</v>
      </c>
      <c r="D14" s="154">
        <v>-2825828</v>
      </c>
    </row>
    <row r="15" spans="1:4" x14ac:dyDescent="0.25">
      <c r="A15" s="155" t="s">
        <v>302</v>
      </c>
      <c r="B15" s="132" t="s">
        <v>544</v>
      </c>
      <c r="C15" s="154">
        <v>-131077</v>
      </c>
      <c r="D15" s="162">
        <v>0</v>
      </c>
    </row>
    <row r="16" spans="1:4" x14ac:dyDescent="0.25">
      <c r="A16" s="155" t="s">
        <v>290</v>
      </c>
      <c r="B16" s="132" t="s">
        <v>544</v>
      </c>
      <c r="C16" s="154">
        <v>-30672</v>
      </c>
      <c r="D16" s="154">
        <v>-29000</v>
      </c>
    </row>
    <row r="17" spans="1:4" x14ac:dyDescent="0.25">
      <c r="A17" s="155" t="s">
        <v>291</v>
      </c>
      <c r="B17" s="132" t="s">
        <v>544</v>
      </c>
      <c r="C17" s="154">
        <v>-10775</v>
      </c>
      <c r="D17" s="154">
        <v>-8150</v>
      </c>
    </row>
    <row r="18" spans="1:4" x14ac:dyDescent="0.25">
      <c r="A18" s="163" t="s">
        <v>292</v>
      </c>
      <c r="B18" s="132"/>
      <c r="C18" s="164">
        <v>-2801747</v>
      </c>
      <c r="D18" s="164">
        <v>-2862978</v>
      </c>
    </row>
    <row r="19" spans="1:4" x14ac:dyDescent="0.25">
      <c r="A19" s="155" t="s">
        <v>293</v>
      </c>
      <c r="B19" s="148"/>
      <c r="C19" s="165">
        <v>23836</v>
      </c>
      <c r="D19" s="165">
        <v>22511</v>
      </c>
    </row>
    <row r="20" spans="1:4" x14ac:dyDescent="0.25">
      <c r="A20" s="155" t="s">
        <v>294</v>
      </c>
      <c r="B20" s="148"/>
      <c r="C20" s="162">
        <v>0</v>
      </c>
      <c r="D20" s="165">
        <v>14500</v>
      </c>
    </row>
    <row r="21" spans="1:4" x14ac:dyDescent="0.25">
      <c r="A21" s="155" t="s">
        <v>299</v>
      </c>
      <c r="B21" s="148"/>
      <c r="C21" s="162">
        <v>0</v>
      </c>
      <c r="D21" s="165">
        <v>21732</v>
      </c>
    </row>
    <row r="22" spans="1:4" x14ac:dyDescent="0.25">
      <c r="A22" s="155" t="s">
        <v>452</v>
      </c>
      <c r="B22" s="148" t="s">
        <v>544</v>
      </c>
      <c r="C22" s="165">
        <v>31020</v>
      </c>
      <c r="D22" s="165">
        <v>4684</v>
      </c>
    </row>
    <row r="23" spans="1:4" x14ac:dyDescent="0.25">
      <c r="A23" s="155" t="s">
        <v>295</v>
      </c>
      <c r="B23" s="148"/>
      <c r="C23" s="154">
        <v>16088</v>
      </c>
      <c r="D23" s="154">
        <v>8205</v>
      </c>
    </row>
    <row r="24" spans="1:4" x14ac:dyDescent="0.25">
      <c r="A24" s="150" t="s">
        <v>296</v>
      </c>
      <c r="B24" s="148"/>
      <c r="C24" s="164">
        <v>70944</v>
      </c>
      <c r="D24" s="164">
        <v>71632</v>
      </c>
    </row>
    <row r="25" spans="1:4" x14ac:dyDescent="0.25">
      <c r="A25" s="158" t="s">
        <v>297</v>
      </c>
      <c r="B25" s="342"/>
      <c r="C25" s="166">
        <v>-2730803</v>
      </c>
      <c r="D25" s="166">
        <v>-2791346</v>
      </c>
    </row>
    <row r="26" spans="1:4" x14ac:dyDescent="0.25">
      <c r="A26" s="161" t="s">
        <v>298</v>
      </c>
      <c r="B26" s="148"/>
      <c r="C26" s="156"/>
      <c r="D26" s="156"/>
    </row>
    <row r="27" spans="1:4" x14ac:dyDescent="0.25">
      <c r="A27" s="167" t="s">
        <v>299</v>
      </c>
      <c r="B27" s="148" t="s">
        <v>545</v>
      </c>
      <c r="C27" s="154">
        <v>-2550000</v>
      </c>
      <c r="D27" s="154">
        <v>-150000</v>
      </c>
    </row>
    <row r="28" spans="1:4" x14ac:dyDescent="0.25">
      <c r="A28" s="168" t="s">
        <v>300</v>
      </c>
      <c r="B28" s="148" t="s">
        <v>545</v>
      </c>
      <c r="C28" s="154">
        <v>-66959</v>
      </c>
      <c r="D28" s="154">
        <v>-67126</v>
      </c>
    </row>
    <row r="29" spans="1:4" x14ac:dyDescent="0.25">
      <c r="A29" s="168" t="s">
        <v>456</v>
      </c>
      <c r="B29" s="148"/>
      <c r="C29" s="162">
        <v>0</v>
      </c>
      <c r="D29" s="154">
        <v>-262882</v>
      </c>
    </row>
    <row r="30" spans="1:4" x14ac:dyDescent="0.25">
      <c r="A30" s="168" t="s">
        <v>301</v>
      </c>
      <c r="B30" s="132" t="s">
        <v>545</v>
      </c>
      <c r="C30" s="154">
        <v>-114419</v>
      </c>
      <c r="D30" s="154">
        <v>-126101</v>
      </c>
    </row>
    <row r="31" spans="1:4" x14ac:dyDescent="0.25">
      <c r="A31" s="168" t="s">
        <v>303</v>
      </c>
      <c r="B31" s="132"/>
      <c r="C31" s="154">
        <v>-24225</v>
      </c>
      <c r="D31" s="154">
        <v>-23307</v>
      </c>
    </row>
    <row r="32" spans="1:4" x14ac:dyDescent="0.25">
      <c r="A32" s="150" t="s">
        <v>292</v>
      </c>
      <c r="B32" s="132"/>
      <c r="C32" s="164">
        <v>-2755603</v>
      </c>
      <c r="D32" s="164">
        <v>-629416</v>
      </c>
    </row>
    <row r="33" spans="1:4" x14ac:dyDescent="0.25">
      <c r="A33" s="167" t="s">
        <v>304</v>
      </c>
      <c r="B33" s="132" t="s">
        <v>545</v>
      </c>
      <c r="C33" s="154">
        <v>2860000</v>
      </c>
      <c r="D33" s="162">
        <v>0</v>
      </c>
    </row>
    <row r="34" spans="1:4" x14ac:dyDescent="0.25">
      <c r="A34" s="167" t="s">
        <v>511</v>
      </c>
      <c r="B34" s="132"/>
      <c r="C34" s="154">
        <v>916</v>
      </c>
      <c r="D34" s="169">
        <v>295000</v>
      </c>
    </row>
    <row r="35" spans="1:4" x14ac:dyDescent="0.25">
      <c r="A35" s="170" t="s">
        <v>305</v>
      </c>
      <c r="B35" s="134"/>
      <c r="C35" s="169">
        <v>23878</v>
      </c>
      <c r="D35" s="169">
        <v>14963</v>
      </c>
    </row>
    <row r="36" spans="1:4" x14ac:dyDescent="0.25">
      <c r="A36" s="171" t="s">
        <v>296</v>
      </c>
      <c r="B36" s="343"/>
      <c r="C36" s="172">
        <v>2884794</v>
      </c>
      <c r="D36" s="172">
        <v>309963</v>
      </c>
    </row>
    <row r="37" spans="1:4" x14ac:dyDescent="0.25">
      <c r="A37" s="173" t="s">
        <v>306</v>
      </c>
      <c r="B37" s="344"/>
      <c r="C37" s="166">
        <v>129191</v>
      </c>
      <c r="D37" s="166">
        <v>-319453</v>
      </c>
    </row>
    <row r="38" spans="1:4" x14ac:dyDescent="0.25">
      <c r="A38" s="174" t="s">
        <v>307</v>
      </c>
      <c r="B38" s="342"/>
      <c r="C38" s="166">
        <v>-196258</v>
      </c>
      <c r="D38" s="166">
        <v>-327707</v>
      </c>
    </row>
    <row r="39" spans="1:4" x14ac:dyDescent="0.25">
      <c r="A39" s="175" t="s">
        <v>308</v>
      </c>
      <c r="B39" s="148"/>
      <c r="C39" s="154">
        <v>2379</v>
      </c>
      <c r="D39" s="154">
        <v>574</v>
      </c>
    </row>
    <row r="40" spans="1:4" x14ac:dyDescent="0.25">
      <c r="A40" s="176" t="s">
        <v>309</v>
      </c>
      <c r="B40" s="345">
        <v>27</v>
      </c>
      <c r="C40" s="177">
        <v>327715</v>
      </c>
      <c r="D40" s="177">
        <v>1408071</v>
      </c>
    </row>
    <row r="41" spans="1:4" x14ac:dyDescent="0.25">
      <c r="A41" s="176" t="s">
        <v>546</v>
      </c>
      <c r="B41" s="345">
        <v>27</v>
      </c>
      <c r="C41" s="177">
        <v>131457</v>
      </c>
      <c r="D41" s="177">
        <v>1080364</v>
      </c>
    </row>
    <row r="42" spans="1:4" ht="15.75" x14ac:dyDescent="0.25">
      <c r="A42" s="178" t="s">
        <v>310</v>
      </c>
      <c r="B42" s="343">
        <v>27</v>
      </c>
      <c r="C42" s="179">
        <v>186188</v>
      </c>
      <c r="D42" s="179">
        <v>192798</v>
      </c>
    </row>
  </sheetData>
  <customSheetViews>
    <customSheetView guid="{77EFF5B1-32BE-4080-9902-B97F43099026}" scale="90" topLeftCell="A5">
      <selection activeCell="D45" sqref="D45"/>
      <pageMargins left="0.7" right="0.7" top="0.75" bottom="0.75" header="0.3" footer="0.3"/>
    </customSheetView>
    <customSheetView guid="{AAA495E0-27FD-4941-85B8-9038B6AD4FA3}" scale="90" showPageBreaks="1" fitToPage="1">
      <selection activeCell="C21" sqref="C21"/>
      <pageMargins left="0.7" right="0.7" top="0.75" bottom="0.75" header="0.3" footer="0.3"/>
      <pageSetup paperSize="9" scale="68" orientation="portrait" r:id="rId1"/>
    </customSheetView>
    <customSheetView guid="{874BA5F8-BD95-4DDF-8F31-98DB154CA965}" scale="90">
      <selection activeCell="I11" sqref="I11"/>
      <pageMargins left="0.7" right="0.7" top="0.75" bottom="0.75" header="0.3" footer="0.3"/>
    </customSheetView>
    <customSheetView guid="{627AEB6E-B9F1-415E-9A60-881757A50C67}" scale="90" topLeftCell="A5">
      <selection activeCell="D45" sqref="D4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AD159"/>
  <sheetViews>
    <sheetView zoomScale="90" zoomScaleNormal="90" workbookViewId="0">
      <pane xSplit="1" ySplit="4" topLeftCell="Y5" activePane="bottomRight" state="frozen"/>
      <selection pane="topRight" activeCell="B1" sqref="B1"/>
      <selection pane="bottomLeft" activeCell="A5" sqref="A5"/>
      <selection pane="bottomRight" activeCell="A22" sqref="A22"/>
    </sheetView>
  </sheetViews>
  <sheetFormatPr defaultColWidth="12.42578125" defaultRowHeight="15" x14ac:dyDescent="0.25"/>
  <cols>
    <col min="1" max="1" width="83.28515625" style="144" customWidth="1"/>
    <col min="2" max="16" width="21.5703125" style="144" customWidth="1"/>
    <col min="17" max="17" width="15.140625" style="144" customWidth="1"/>
    <col min="18" max="18" width="16.28515625" style="144" customWidth="1"/>
    <col min="19" max="19" width="18.140625" style="144" customWidth="1"/>
    <col min="20" max="20" width="16.85546875" style="144" customWidth="1"/>
    <col min="21" max="21" width="17.7109375" style="144" customWidth="1"/>
    <col min="22" max="28" width="16.7109375" style="144" customWidth="1"/>
    <col min="29" max="16384" width="12.42578125" style="144"/>
  </cols>
  <sheetData>
    <row r="1" spans="1:30" ht="27.95" customHeight="1" x14ac:dyDescent="0.25">
      <c r="A1" s="142" t="s">
        <v>311</v>
      </c>
      <c r="B1" s="231"/>
      <c r="C1" s="231"/>
      <c r="D1" s="231"/>
      <c r="E1" s="231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</row>
    <row r="2" spans="1:30" s="236" customFormat="1" ht="15" customHeight="1" x14ac:dyDescent="0.25">
      <c r="A2" s="233" t="s">
        <v>203</v>
      </c>
      <c r="B2" s="234"/>
      <c r="C2" s="234"/>
      <c r="D2" s="234"/>
      <c r="E2" s="234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</row>
    <row r="3" spans="1:30" ht="25.5" x14ac:dyDescent="0.25">
      <c r="A3" s="237" t="s">
        <v>86</v>
      </c>
      <c r="B3" s="146" t="s">
        <v>312</v>
      </c>
      <c r="C3" s="146" t="s">
        <v>313</v>
      </c>
      <c r="D3" s="146" t="s">
        <v>314</v>
      </c>
      <c r="E3" s="146" t="s">
        <v>315</v>
      </c>
      <c r="F3" s="146" t="s">
        <v>316</v>
      </c>
      <c r="G3" s="146" t="s">
        <v>317</v>
      </c>
      <c r="H3" s="238" t="s">
        <v>318</v>
      </c>
      <c r="I3" s="146" t="s">
        <v>319</v>
      </c>
      <c r="J3" s="146" t="s">
        <v>320</v>
      </c>
      <c r="K3" s="146" t="s">
        <v>321</v>
      </c>
      <c r="L3" s="146" t="s">
        <v>322</v>
      </c>
      <c r="M3" s="239" t="s">
        <v>323</v>
      </c>
      <c r="N3" s="146" t="s">
        <v>324</v>
      </c>
      <c r="O3" s="146" t="s">
        <v>325</v>
      </c>
      <c r="P3" s="146" t="s">
        <v>326</v>
      </c>
      <c r="Q3" s="240" t="s">
        <v>327</v>
      </c>
      <c r="R3" s="238" t="s">
        <v>328</v>
      </c>
      <c r="S3" s="238" t="s">
        <v>329</v>
      </c>
      <c r="T3" s="238" t="s">
        <v>330</v>
      </c>
      <c r="U3" s="238" t="s">
        <v>331</v>
      </c>
      <c r="V3" s="238" t="s">
        <v>332</v>
      </c>
      <c r="W3" s="238" t="s">
        <v>333</v>
      </c>
      <c r="X3" s="238" t="s">
        <v>334</v>
      </c>
      <c r="Y3" s="238" t="s">
        <v>335</v>
      </c>
      <c r="Z3" s="238" t="s">
        <v>336</v>
      </c>
      <c r="AA3" s="238" t="s">
        <v>512</v>
      </c>
      <c r="AB3" s="238" t="s">
        <v>531</v>
      </c>
    </row>
    <row r="4" spans="1:30" x14ac:dyDescent="0.25">
      <c r="A4" s="183"/>
      <c r="B4" s="241"/>
      <c r="C4" s="241"/>
      <c r="D4" s="241"/>
      <c r="E4" s="241"/>
      <c r="F4" s="241"/>
      <c r="G4" s="241"/>
      <c r="H4" s="156"/>
      <c r="I4" s="156"/>
      <c r="J4" s="156"/>
      <c r="K4" s="156"/>
      <c r="L4" s="156"/>
      <c r="M4" s="156"/>
      <c r="N4" s="156"/>
      <c r="O4" s="156"/>
      <c r="P4" s="156"/>
      <c r="T4" s="242"/>
    </row>
    <row r="5" spans="1:30" x14ac:dyDescent="0.25">
      <c r="A5" s="183" t="s">
        <v>205</v>
      </c>
      <c r="B5" s="241">
        <v>3794333</v>
      </c>
      <c r="C5" s="241">
        <v>3465956</v>
      </c>
      <c r="D5" s="241">
        <v>3690586</v>
      </c>
      <c r="E5" s="156">
        <v>4478004</v>
      </c>
      <c r="F5" s="241">
        <v>5299075</v>
      </c>
      <c r="G5" s="241">
        <v>5032069</v>
      </c>
      <c r="H5" s="156">
        <v>4835697</v>
      </c>
      <c r="I5" s="156">
        <v>5588381</v>
      </c>
      <c r="J5" s="156">
        <v>6454853</v>
      </c>
      <c r="K5" s="156">
        <v>5859133</v>
      </c>
      <c r="L5" s="156">
        <v>5900257</v>
      </c>
      <c r="M5" s="156">
        <v>6538742</v>
      </c>
      <c r="N5" s="156">
        <v>5164102</v>
      </c>
      <c r="O5" s="156">
        <f>4542422-32922</f>
        <v>4509500</v>
      </c>
      <c r="P5" s="243">
        <v>4540102</v>
      </c>
      <c r="Q5" s="156">
        <v>4921691</v>
      </c>
      <c r="R5" s="156">
        <v>4929101</v>
      </c>
      <c r="S5" s="156">
        <v>4376349</v>
      </c>
      <c r="T5" s="244">
        <v>4412231</v>
      </c>
      <c r="U5" s="156">
        <v>4837662</v>
      </c>
      <c r="V5" s="156">
        <v>4789785</v>
      </c>
      <c r="W5" s="156">
        <v>4466829</v>
      </c>
      <c r="X5" s="156">
        <v>4377627</v>
      </c>
      <c r="Y5" s="156">
        <v>4740983</v>
      </c>
      <c r="Z5" s="156">
        <v>4647035</v>
      </c>
      <c r="AA5" s="156">
        <v>4295822</v>
      </c>
      <c r="AB5" s="156">
        <v>4180888</v>
      </c>
      <c r="AC5" s="245"/>
    </row>
    <row r="6" spans="1:30" x14ac:dyDescent="0.25">
      <c r="A6" s="215" t="s">
        <v>206</v>
      </c>
      <c r="B6" s="241">
        <v>-3106970</v>
      </c>
      <c r="C6" s="241">
        <v>-2889658</v>
      </c>
      <c r="D6" s="241">
        <v>-3141138</v>
      </c>
      <c r="E6" s="156">
        <v>-3951362</v>
      </c>
      <c r="F6" s="241">
        <v>-4560882</v>
      </c>
      <c r="G6" s="241">
        <v>-4368268</v>
      </c>
      <c r="H6" s="156">
        <v>-4229239</v>
      </c>
      <c r="I6" s="156">
        <v>-5015965</v>
      </c>
      <c r="J6" s="156">
        <v>-5604614</v>
      </c>
      <c r="K6" s="156">
        <v>-4889291</v>
      </c>
      <c r="L6" s="156">
        <v>-5033062</v>
      </c>
      <c r="M6" s="156">
        <v>-5755087</v>
      </c>
      <c r="N6" s="156">
        <v>-4078650</v>
      </c>
      <c r="O6" s="156">
        <f>-3849397+32922</f>
        <v>-3816475</v>
      </c>
      <c r="P6" s="156">
        <v>-3728700</v>
      </c>
      <c r="Q6" s="156">
        <v>-4366636</v>
      </c>
      <c r="R6" s="156">
        <v>-4013978</v>
      </c>
      <c r="S6" s="156">
        <v>-3630345</v>
      </c>
      <c r="T6" s="156">
        <v>-3684221</v>
      </c>
      <c r="U6" s="156">
        <v>-4298099</v>
      </c>
      <c r="V6" s="156">
        <v>-3963914</v>
      </c>
      <c r="W6" s="156">
        <v>-3648361</v>
      </c>
      <c r="X6" s="156">
        <v>-3635702</v>
      </c>
      <c r="Y6" s="156">
        <v>-7892798</v>
      </c>
      <c r="Z6" s="156">
        <v>-3923059</v>
      </c>
      <c r="AA6" s="156">
        <v>-4363070</v>
      </c>
      <c r="AB6" s="156">
        <v>-3537039</v>
      </c>
      <c r="AC6" s="245"/>
    </row>
    <row r="7" spans="1:30" x14ac:dyDescent="0.25">
      <c r="A7" s="183" t="s">
        <v>337</v>
      </c>
      <c r="B7" s="241">
        <v>687363</v>
      </c>
      <c r="C7" s="241">
        <v>576298</v>
      </c>
      <c r="D7" s="241">
        <v>549448</v>
      </c>
      <c r="E7" s="156">
        <v>526642</v>
      </c>
      <c r="F7" s="241">
        <v>738193</v>
      </c>
      <c r="G7" s="241">
        <v>663801</v>
      </c>
      <c r="H7" s="156">
        <v>606458</v>
      </c>
      <c r="I7" s="156">
        <v>572416</v>
      </c>
      <c r="J7" s="156">
        <v>850239</v>
      </c>
      <c r="K7" s="156">
        <v>969842</v>
      </c>
      <c r="L7" s="156">
        <v>867195</v>
      </c>
      <c r="M7" s="156">
        <v>783655</v>
      </c>
      <c r="N7" s="156">
        <v>1085452</v>
      </c>
      <c r="O7" s="156">
        <v>693025</v>
      </c>
      <c r="P7" s="156">
        <v>811402</v>
      </c>
      <c r="Q7" s="156">
        <v>555055</v>
      </c>
      <c r="R7" s="156">
        <v>915123</v>
      </c>
      <c r="S7" s="156">
        <v>746004</v>
      </c>
      <c r="T7" s="244">
        <v>728010</v>
      </c>
      <c r="U7" s="156">
        <v>539563</v>
      </c>
      <c r="V7" s="156">
        <v>825871</v>
      </c>
      <c r="W7" s="156">
        <v>818468</v>
      </c>
      <c r="X7" s="156">
        <v>741925</v>
      </c>
      <c r="Y7" s="156">
        <v>-3151815</v>
      </c>
      <c r="Z7" s="156">
        <v>723976</v>
      </c>
      <c r="AA7" s="156">
        <v>-67248</v>
      </c>
      <c r="AB7" s="156">
        <v>643849</v>
      </c>
      <c r="AC7" s="245"/>
    </row>
    <row r="8" spans="1:30" x14ac:dyDescent="0.25">
      <c r="A8" s="215" t="s">
        <v>338</v>
      </c>
      <c r="B8" s="241">
        <v>31761</v>
      </c>
      <c r="C8" s="241">
        <v>20882</v>
      </c>
      <c r="D8" s="241">
        <v>19742</v>
      </c>
      <c r="E8" s="156">
        <v>32801</v>
      </c>
      <c r="F8" s="241">
        <v>19346</v>
      </c>
      <c r="G8" s="241">
        <v>25112</v>
      </c>
      <c r="H8" s="156">
        <v>21453</v>
      </c>
      <c r="I8" s="156">
        <v>33535</v>
      </c>
      <c r="J8" s="156">
        <v>26438</v>
      </c>
      <c r="K8" s="156">
        <v>22362</v>
      </c>
      <c r="L8" s="156">
        <v>28360</v>
      </c>
      <c r="M8" s="156">
        <v>41741</v>
      </c>
      <c r="N8" s="156">
        <v>26739</v>
      </c>
      <c r="O8" s="156">
        <v>36343</v>
      </c>
      <c r="P8" s="156">
        <v>21047</v>
      </c>
      <c r="Q8" s="156">
        <v>43307</v>
      </c>
      <c r="R8" s="156">
        <v>34668</v>
      </c>
      <c r="S8" s="156">
        <v>45133</v>
      </c>
      <c r="T8" s="244">
        <v>59201</v>
      </c>
      <c r="U8" s="156">
        <v>94304</v>
      </c>
      <c r="V8" s="156">
        <v>42808</v>
      </c>
      <c r="W8" s="156">
        <v>30514</v>
      </c>
      <c r="X8" s="156">
        <v>67797</v>
      </c>
      <c r="Y8" s="156">
        <v>30236</v>
      </c>
      <c r="Z8" s="156">
        <v>32775</v>
      </c>
      <c r="AA8" s="156">
        <v>26278</v>
      </c>
      <c r="AB8" s="156">
        <v>25424</v>
      </c>
      <c r="AC8" s="245"/>
    </row>
    <row r="9" spans="1:30" x14ac:dyDescent="0.25">
      <c r="A9" s="215" t="s">
        <v>208</v>
      </c>
      <c r="B9" s="241">
        <v>-52512</v>
      </c>
      <c r="C9" s="241">
        <v>-56702</v>
      </c>
      <c r="D9" s="241">
        <v>-56309</v>
      </c>
      <c r="E9" s="156">
        <v>-65729</v>
      </c>
      <c r="F9" s="241">
        <v>-72231</v>
      </c>
      <c r="G9" s="241">
        <v>-78559</v>
      </c>
      <c r="H9" s="156">
        <v>-52175</v>
      </c>
      <c r="I9" s="156">
        <v>-80417</v>
      </c>
      <c r="J9" s="156">
        <v>-116780</v>
      </c>
      <c r="K9" s="156">
        <v>-114194</v>
      </c>
      <c r="L9" s="156">
        <v>-110857</v>
      </c>
      <c r="M9" s="156">
        <v>-210460</v>
      </c>
      <c r="N9" s="156">
        <v>-135865</v>
      </c>
      <c r="O9" s="156">
        <v>-134308</v>
      </c>
      <c r="P9" s="156">
        <v>-127343</v>
      </c>
      <c r="Q9" s="156">
        <v>-155986</v>
      </c>
      <c r="R9" s="156">
        <v>-123000</v>
      </c>
      <c r="S9" s="156">
        <v>-134189</v>
      </c>
      <c r="T9" s="156">
        <v>-144298</v>
      </c>
      <c r="U9" s="156">
        <v>-147677</v>
      </c>
      <c r="V9" s="156">
        <v>-107668</v>
      </c>
      <c r="W9" s="156">
        <v>-130164</v>
      </c>
      <c r="X9" s="156">
        <v>-122113</v>
      </c>
      <c r="Y9" s="156">
        <v>-128914</v>
      </c>
      <c r="Z9" s="156">
        <v>-110057</v>
      </c>
      <c r="AA9" s="156">
        <v>-110340</v>
      </c>
      <c r="AB9" s="156">
        <v>-112429</v>
      </c>
      <c r="AC9" s="245"/>
    </row>
    <row r="10" spans="1:30" x14ac:dyDescent="0.25">
      <c r="A10" s="215" t="s">
        <v>209</v>
      </c>
      <c r="B10" s="241">
        <v>-144596</v>
      </c>
      <c r="C10" s="241">
        <v>-196024</v>
      </c>
      <c r="D10" s="241">
        <v>-149663</v>
      </c>
      <c r="E10" s="156">
        <v>-180025</v>
      </c>
      <c r="F10" s="241">
        <v>-146521</v>
      </c>
      <c r="G10" s="241">
        <v>-162051</v>
      </c>
      <c r="H10" s="156">
        <v>-174890</v>
      </c>
      <c r="I10" s="156">
        <v>-180508</v>
      </c>
      <c r="J10" s="156">
        <v>-178971</v>
      </c>
      <c r="K10" s="156">
        <v>-160908</v>
      </c>
      <c r="L10" s="156">
        <v>-172242</v>
      </c>
      <c r="M10" s="156">
        <v>-222633</v>
      </c>
      <c r="N10" s="156">
        <v>-169590</v>
      </c>
      <c r="O10" s="156">
        <v>-172464</v>
      </c>
      <c r="P10" s="156">
        <v>-165231</v>
      </c>
      <c r="Q10" s="156">
        <v>-138121</v>
      </c>
      <c r="R10" s="156">
        <v>-167391</v>
      </c>
      <c r="S10" s="156">
        <v>-164808</v>
      </c>
      <c r="T10" s="156">
        <v>-159428</v>
      </c>
      <c r="U10" s="156">
        <v>-172560</v>
      </c>
      <c r="V10" s="156">
        <v>-156212</v>
      </c>
      <c r="W10" s="156">
        <v>-156612</v>
      </c>
      <c r="X10" s="156">
        <v>-153669</v>
      </c>
      <c r="Y10" s="156">
        <v>-152476</v>
      </c>
      <c r="Z10" s="156">
        <v>-167643</v>
      </c>
      <c r="AA10" s="156">
        <v>-150336</v>
      </c>
      <c r="AB10" s="156">
        <v>-154810</v>
      </c>
      <c r="AC10" s="245"/>
    </row>
    <row r="11" spans="1:30" x14ac:dyDescent="0.25">
      <c r="A11" s="215" t="s">
        <v>339</v>
      </c>
      <c r="B11" s="241">
        <v>-45970</v>
      </c>
      <c r="C11" s="241">
        <v>-37749</v>
      </c>
      <c r="D11" s="241">
        <v>-18041</v>
      </c>
      <c r="E11" s="156">
        <v>-42358</v>
      </c>
      <c r="F11" s="241">
        <v>-27792</v>
      </c>
      <c r="G11" s="241">
        <v>-21220</v>
      </c>
      <c r="H11" s="156">
        <v>-17984</v>
      </c>
      <c r="I11" s="156">
        <v>-20462</v>
      </c>
      <c r="J11" s="156">
        <v>-22386</v>
      </c>
      <c r="K11" s="156">
        <v>-22237</v>
      </c>
      <c r="L11" s="156">
        <v>-33285</v>
      </c>
      <c r="M11" s="156">
        <v>-59750</v>
      </c>
      <c r="N11" s="156">
        <v>-17336</v>
      </c>
      <c r="O11" s="156">
        <v>-22222</v>
      </c>
      <c r="P11" s="156">
        <v>-16273</v>
      </c>
      <c r="Q11" s="156">
        <v>-79292</v>
      </c>
      <c r="R11" s="156">
        <v>-26966</v>
      </c>
      <c r="S11" s="156">
        <v>-42120</v>
      </c>
      <c r="T11" s="156">
        <v>-18998</v>
      </c>
      <c r="U11" s="156">
        <v>-30458</v>
      </c>
      <c r="V11" s="156">
        <v>-19228</v>
      </c>
      <c r="W11" s="156">
        <v>-103475</v>
      </c>
      <c r="X11" s="156">
        <v>-45982</v>
      </c>
      <c r="Y11" s="156">
        <v>-30432</v>
      </c>
      <c r="Z11" s="188">
        <v>-23069</v>
      </c>
      <c r="AA11" s="243">
        <v>-20691</v>
      </c>
      <c r="AB11" s="156">
        <v>-12738</v>
      </c>
      <c r="AC11" s="245"/>
      <c r="AD11" s="246"/>
    </row>
    <row r="12" spans="1:30" x14ac:dyDescent="0.25">
      <c r="A12" s="183" t="s">
        <v>340</v>
      </c>
      <c r="B12" s="241">
        <v>476046</v>
      </c>
      <c r="C12" s="241">
        <v>306705</v>
      </c>
      <c r="D12" s="241">
        <v>345177</v>
      </c>
      <c r="E12" s="156">
        <v>271331</v>
      </c>
      <c r="F12" s="241">
        <v>510995</v>
      </c>
      <c r="G12" s="241">
        <v>427083</v>
      </c>
      <c r="H12" s="156">
        <v>382862</v>
      </c>
      <c r="I12" s="156">
        <v>324564</v>
      </c>
      <c r="J12" s="156">
        <v>558540</v>
      </c>
      <c r="K12" s="156">
        <v>694865</v>
      </c>
      <c r="L12" s="156">
        <v>579171</v>
      </c>
      <c r="M12" s="156">
        <v>332553</v>
      </c>
      <c r="N12" s="156">
        <v>789400</v>
      </c>
      <c r="O12" s="156">
        <v>400374</v>
      </c>
      <c r="P12" s="156">
        <v>523602</v>
      </c>
      <c r="Q12" s="156">
        <v>224963</v>
      </c>
      <c r="R12" s="156">
        <v>632434</v>
      </c>
      <c r="S12" s="156">
        <v>450020</v>
      </c>
      <c r="T12" s="244">
        <v>464487</v>
      </c>
      <c r="U12" s="156">
        <v>283172</v>
      </c>
      <c r="V12" s="156">
        <v>585571</v>
      </c>
      <c r="W12" s="156">
        <v>458731</v>
      </c>
      <c r="X12" s="156">
        <v>487958</v>
      </c>
      <c r="Y12" s="156">
        <v>-3433401</v>
      </c>
      <c r="Z12" s="156">
        <v>455982</v>
      </c>
      <c r="AA12" s="156">
        <v>-322337</v>
      </c>
      <c r="AB12" s="156">
        <v>389296</v>
      </c>
      <c r="AC12" s="245"/>
    </row>
    <row r="13" spans="1:30" x14ac:dyDescent="0.25">
      <c r="A13" s="215" t="s">
        <v>213</v>
      </c>
      <c r="B13" s="241">
        <v>26239</v>
      </c>
      <c r="C13" s="241">
        <v>17544</v>
      </c>
      <c r="D13" s="241">
        <v>21350</v>
      </c>
      <c r="E13" s="156">
        <v>27151</v>
      </c>
      <c r="F13" s="241">
        <v>22479</v>
      </c>
      <c r="G13" s="241">
        <v>32342</v>
      </c>
      <c r="H13" s="156">
        <v>28441</v>
      </c>
      <c r="I13" s="156">
        <v>32505</v>
      </c>
      <c r="J13" s="156">
        <v>31877</v>
      </c>
      <c r="K13" s="156">
        <v>21460</v>
      </c>
      <c r="L13" s="156">
        <v>43543</v>
      </c>
      <c r="M13" s="156">
        <v>34426</v>
      </c>
      <c r="N13" s="156">
        <v>27038</v>
      </c>
      <c r="O13" s="156">
        <v>31625</v>
      </c>
      <c r="P13" s="156">
        <v>17422</v>
      </c>
      <c r="Q13" s="156">
        <v>23172</v>
      </c>
      <c r="R13" s="156">
        <v>13071</v>
      </c>
      <c r="S13" s="156">
        <v>15890</v>
      </c>
      <c r="T13" s="244">
        <v>12597</v>
      </c>
      <c r="U13" s="156">
        <v>44640</v>
      </c>
      <c r="V13" s="156">
        <v>59058</v>
      </c>
      <c r="W13" s="156">
        <v>-16980</v>
      </c>
      <c r="X13" s="156">
        <v>17628</v>
      </c>
      <c r="Y13" s="156">
        <v>13746</v>
      </c>
      <c r="Z13" s="156">
        <v>29193</v>
      </c>
      <c r="AA13" s="156">
        <v>26746</v>
      </c>
      <c r="AB13" s="156">
        <v>-4354</v>
      </c>
      <c r="AC13" s="245"/>
    </row>
    <row r="14" spans="1:30" x14ac:dyDescent="0.25">
      <c r="A14" s="215" t="s">
        <v>341</v>
      </c>
      <c r="B14" s="241">
        <v>-52556</v>
      </c>
      <c r="C14" s="241">
        <v>-52520</v>
      </c>
      <c r="D14" s="241">
        <v>-42405</v>
      </c>
      <c r="E14" s="156">
        <v>-86512</v>
      </c>
      <c r="F14" s="241">
        <v>-46437</v>
      </c>
      <c r="G14" s="241">
        <v>-31058</v>
      </c>
      <c r="H14" s="156">
        <v>-44508</v>
      </c>
      <c r="I14" s="156">
        <v>-38271</v>
      </c>
      <c r="J14" s="156">
        <v>-91205</v>
      </c>
      <c r="K14" s="156">
        <v>-72510</v>
      </c>
      <c r="L14" s="156">
        <v>-85526</v>
      </c>
      <c r="M14" s="156">
        <v>-97883</v>
      </c>
      <c r="N14" s="156">
        <v>-78442</v>
      </c>
      <c r="O14" s="156">
        <v>-82427</v>
      </c>
      <c r="P14" s="156">
        <v>-81285</v>
      </c>
      <c r="Q14" s="156">
        <v>-104839</v>
      </c>
      <c r="R14" s="156">
        <v>-87509</v>
      </c>
      <c r="S14" s="156">
        <v>-97587</v>
      </c>
      <c r="T14" s="156">
        <v>-89731</v>
      </c>
      <c r="U14" s="156">
        <v>-142333</v>
      </c>
      <c r="V14" s="156">
        <v>-90656</v>
      </c>
      <c r="W14" s="156">
        <v>-141791</v>
      </c>
      <c r="X14" s="156">
        <v>-46150</v>
      </c>
      <c r="Y14" s="156">
        <v>-89418</v>
      </c>
      <c r="Z14" s="156">
        <v>-96615</v>
      </c>
      <c r="AA14" s="156">
        <v>-120155</v>
      </c>
      <c r="AB14" s="156">
        <v>-66550</v>
      </c>
      <c r="AC14" s="245"/>
    </row>
    <row r="15" spans="1:30" x14ac:dyDescent="0.25">
      <c r="A15" s="215" t="s">
        <v>342</v>
      </c>
      <c r="B15" s="247">
        <v>0</v>
      </c>
      <c r="C15" s="247">
        <v>0</v>
      </c>
      <c r="D15" s="247">
        <v>0</v>
      </c>
      <c r="E15" s="156">
        <v>-236</v>
      </c>
      <c r="F15" s="241">
        <v>-297</v>
      </c>
      <c r="G15" s="241">
        <v>-242</v>
      </c>
      <c r="H15" s="156">
        <v>-188</v>
      </c>
      <c r="I15" s="156">
        <v>-319</v>
      </c>
      <c r="J15" s="156">
        <v>-354</v>
      </c>
      <c r="K15" s="156">
        <v>-317</v>
      </c>
      <c r="L15" s="156">
        <v>-302</v>
      </c>
      <c r="M15" s="156">
        <v>-761</v>
      </c>
      <c r="N15" s="156">
        <v>-869</v>
      </c>
      <c r="O15" s="156">
        <v>-545</v>
      </c>
      <c r="P15" s="156">
        <v>-506</v>
      </c>
      <c r="Q15" s="156">
        <v>-789</v>
      </c>
      <c r="R15" s="156">
        <v>-406</v>
      </c>
      <c r="S15" s="156">
        <v>-370</v>
      </c>
      <c r="T15" s="156">
        <v>-400</v>
      </c>
      <c r="U15" s="156">
        <v>240</v>
      </c>
      <c r="V15" s="156">
        <v>20400</v>
      </c>
      <c r="W15" s="156">
        <v>-15530</v>
      </c>
      <c r="X15" s="156">
        <v>-4560</v>
      </c>
      <c r="Y15" s="156">
        <v>7623</v>
      </c>
      <c r="Z15" s="156">
        <v>23035</v>
      </c>
      <c r="AA15" s="156">
        <v>36826</v>
      </c>
      <c r="AB15" s="156">
        <v>18477</v>
      </c>
      <c r="AC15" s="245"/>
    </row>
    <row r="16" spans="1:30" x14ac:dyDescent="0.25">
      <c r="A16" s="183" t="s">
        <v>343</v>
      </c>
      <c r="B16" s="241">
        <v>449729</v>
      </c>
      <c r="C16" s="241">
        <v>271729</v>
      </c>
      <c r="D16" s="241">
        <v>324122</v>
      </c>
      <c r="E16" s="156">
        <v>211734</v>
      </c>
      <c r="F16" s="241">
        <v>486740</v>
      </c>
      <c r="G16" s="241">
        <v>428125</v>
      </c>
      <c r="H16" s="156">
        <v>366607</v>
      </c>
      <c r="I16" s="156">
        <v>318479</v>
      </c>
      <c r="J16" s="156">
        <v>498858</v>
      </c>
      <c r="K16" s="156">
        <v>643498</v>
      </c>
      <c r="L16" s="156">
        <v>536886</v>
      </c>
      <c r="M16" s="156">
        <v>268335</v>
      </c>
      <c r="N16" s="156">
        <v>737127</v>
      </c>
      <c r="O16" s="156">
        <v>349027</v>
      </c>
      <c r="P16" s="156">
        <v>459233</v>
      </c>
      <c r="Q16" s="156">
        <v>142507</v>
      </c>
      <c r="R16" s="156">
        <v>557590</v>
      </c>
      <c r="S16" s="156">
        <v>367953</v>
      </c>
      <c r="T16" s="244">
        <v>386953</v>
      </c>
      <c r="U16" s="156">
        <v>185719</v>
      </c>
      <c r="V16" s="156">
        <v>574373</v>
      </c>
      <c r="W16" s="156">
        <v>284430</v>
      </c>
      <c r="X16" s="156">
        <v>454876</v>
      </c>
      <c r="Y16" s="156">
        <v>-3501450</v>
      </c>
      <c r="Z16" s="156">
        <v>411595</v>
      </c>
      <c r="AA16" s="156">
        <v>-378920</v>
      </c>
      <c r="AB16" s="156">
        <v>336869</v>
      </c>
      <c r="AC16" s="245"/>
    </row>
    <row r="17" spans="1:29" x14ac:dyDescent="0.25">
      <c r="A17" s="215" t="s">
        <v>216</v>
      </c>
      <c r="B17" s="241">
        <v>-90142</v>
      </c>
      <c r="C17" s="241">
        <v>-58355</v>
      </c>
      <c r="D17" s="241">
        <v>-72019</v>
      </c>
      <c r="E17" s="156">
        <v>-45415</v>
      </c>
      <c r="F17" s="241">
        <v>-98769</v>
      </c>
      <c r="G17" s="241">
        <v>-88149</v>
      </c>
      <c r="H17" s="156">
        <v>-74198</v>
      </c>
      <c r="I17" s="156">
        <v>-71901</v>
      </c>
      <c r="J17" s="156">
        <v>-104161</v>
      </c>
      <c r="K17" s="156">
        <v>-147974</v>
      </c>
      <c r="L17" s="156">
        <v>-94038</v>
      </c>
      <c r="M17" s="156">
        <v>-50605</v>
      </c>
      <c r="N17" s="156">
        <v>-156329</v>
      </c>
      <c r="O17" s="156">
        <v>-37943</v>
      </c>
      <c r="P17" s="156">
        <v>-86928</v>
      </c>
      <c r="Q17" s="156">
        <v>-56748</v>
      </c>
      <c r="R17" s="156">
        <v>-158904</v>
      </c>
      <c r="S17" s="156">
        <v>-32717</v>
      </c>
      <c r="T17" s="156">
        <v>-67817</v>
      </c>
      <c r="U17" s="156">
        <v>-53217</v>
      </c>
      <c r="V17" s="156">
        <v>-71643</v>
      </c>
      <c r="W17" s="156">
        <v>-66773</v>
      </c>
      <c r="X17" s="156">
        <v>-96108</v>
      </c>
      <c r="Y17" s="248">
        <v>618080</v>
      </c>
      <c r="Z17" s="188">
        <v>-87789</v>
      </c>
      <c r="AA17" s="188">
        <v>59831</v>
      </c>
      <c r="AB17" s="188">
        <v>-65454</v>
      </c>
      <c r="AC17" s="245"/>
    </row>
    <row r="18" spans="1:29" x14ac:dyDescent="0.25">
      <c r="A18" s="249" t="s">
        <v>344</v>
      </c>
      <c r="B18" s="250">
        <v>359587</v>
      </c>
      <c r="C18" s="250">
        <v>213374</v>
      </c>
      <c r="D18" s="250">
        <v>252103</v>
      </c>
      <c r="E18" s="251">
        <v>166319</v>
      </c>
      <c r="F18" s="250">
        <v>387971</v>
      </c>
      <c r="G18" s="250">
        <v>339976</v>
      </c>
      <c r="H18" s="251">
        <v>292409</v>
      </c>
      <c r="I18" s="251">
        <v>246578</v>
      </c>
      <c r="J18" s="251">
        <v>394697</v>
      </c>
      <c r="K18" s="251">
        <v>495524</v>
      </c>
      <c r="L18" s="251">
        <v>442848</v>
      </c>
      <c r="M18" s="251">
        <v>217730</v>
      </c>
      <c r="N18" s="251">
        <v>580798</v>
      </c>
      <c r="O18" s="251">
        <v>311084</v>
      </c>
      <c r="P18" s="251">
        <v>372305</v>
      </c>
      <c r="Q18" s="251">
        <v>85759</v>
      </c>
      <c r="R18" s="251">
        <v>398686</v>
      </c>
      <c r="S18" s="251">
        <v>335236</v>
      </c>
      <c r="T18" s="252">
        <v>319136</v>
      </c>
      <c r="U18" s="252">
        <v>132502</v>
      </c>
      <c r="V18" s="252">
        <v>502730</v>
      </c>
      <c r="W18" s="252">
        <v>217657</v>
      </c>
      <c r="X18" s="252">
        <v>358768</v>
      </c>
      <c r="Y18" s="156">
        <v>-2883370</v>
      </c>
      <c r="Z18" s="251">
        <v>323806</v>
      </c>
      <c r="AA18" s="251">
        <v>-319089</v>
      </c>
      <c r="AB18" s="251">
        <v>271415</v>
      </c>
      <c r="AC18" s="245"/>
    </row>
    <row r="19" spans="1:29" x14ac:dyDescent="0.25">
      <c r="A19" s="183"/>
      <c r="B19" s="241"/>
      <c r="C19" s="253"/>
      <c r="D19" s="253"/>
      <c r="E19" s="253"/>
      <c r="F19" s="253"/>
      <c r="G19" s="253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5"/>
      <c r="S19" s="255"/>
      <c r="T19" s="255"/>
      <c r="U19" s="256"/>
      <c r="V19" s="256"/>
      <c r="W19" s="256"/>
      <c r="X19" s="256"/>
      <c r="Y19" s="256"/>
      <c r="Z19" s="256"/>
      <c r="AA19" s="256"/>
      <c r="AB19" s="256"/>
    </row>
    <row r="20" spans="1:29" x14ac:dyDescent="0.25">
      <c r="A20" s="257" t="s">
        <v>345</v>
      </c>
      <c r="B20" s="258"/>
      <c r="C20" s="259"/>
      <c r="D20" s="259"/>
      <c r="E20" s="259"/>
      <c r="F20" s="259"/>
      <c r="G20" s="259"/>
      <c r="H20" s="156"/>
      <c r="I20" s="156"/>
      <c r="J20" s="156"/>
      <c r="K20" s="156"/>
      <c r="L20" s="156"/>
      <c r="M20" s="156"/>
      <c r="N20" s="156"/>
      <c r="O20" s="156"/>
      <c r="P20" s="156"/>
      <c r="T20" s="244"/>
      <c r="U20" s="149"/>
      <c r="V20" s="149"/>
      <c r="W20" s="149"/>
      <c r="X20" s="149"/>
      <c r="Y20" s="149"/>
      <c r="Z20" s="149"/>
      <c r="AA20" s="149"/>
    </row>
    <row r="21" spans="1:29" x14ac:dyDescent="0.25">
      <c r="A21" s="228" t="s">
        <v>346</v>
      </c>
      <c r="B21" s="260">
        <v>0</v>
      </c>
      <c r="C21" s="260">
        <v>0</v>
      </c>
      <c r="D21" s="260">
        <v>0</v>
      </c>
      <c r="E21" s="260">
        <v>0</v>
      </c>
      <c r="F21" s="261">
        <v>0</v>
      </c>
      <c r="G21" s="261">
        <v>0</v>
      </c>
      <c r="H21" s="261">
        <v>0</v>
      </c>
      <c r="I21" s="261">
        <v>0</v>
      </c>
      <c r="J21" s="261">
        <v>0</v>
      </c>
      <c r="K21" s="156">
        <v>11393</v>
      </c>
      <c r="L21" s="156">
        <v>-11393</v>
      </c>
      <c r="M21" s="149">
        <v>0</v>
      </c>
      <c r="N21" s="149">
        <v>0</v>
      </c>
      <c r="O21" s="149">
        <v>0</v>
      </c>
      <c r="P21" s="149">
        <v>0</v>
      </c>
      <c r="Q21" s="149">
        <v>0</v>
      </c>
      <c r="R21" s="149">
        <v>0</v>
      </c>
      <c r="S21" s="149">
        <v>0</v>
      </c>
      <c r="T21" s="149">
        <v>0</v>
      </c>
      <c r="U21" s="149">
        <v>0</v>
      </c>
      <c r="V21" s="149">
        <v>0</v>
      </c>
      <c r="W21" s="149">
        <v>0</v>
      </c>
      <c r="X21" s="149">
        <v>0</v>
      </c>
      <c r="Y21" s="149">
        <v>0</v>
      </c>
      <c r="Z21" s="262" t="s">
        <v>74</v>
      </c>
      <c r="AA21" s="262" t="s">
        <v>74</v>
      </c>
      <c r="AB21" s="262" t="s">
        <v>74</v>
      </c>
    </row>
    <row r="22" spans="1:29" x14ac:dyDescent="0.25">
      <c r="A22" s="228" t="s">
        <v>347</v>
      </c>
      <c r="B22" s="259">
        <v>-7948</v>
      </c>
      <c r="C22" s="261">
        <v>62</v>
      </c>
      <c r="D22" s="259">
        <v>-4295</v>
      </c>
      <c r="E22" s="259">
        <v>13293</v>
      </c>
      <c r="F22" s="261">
        <v>0</v>
      </c>
      <c r="G22" s="261">
        <v>0</v>
      </c>
      <c r="H22" s="261">
        <v>0</v>
      </c>
      <c r="I22" s="261">
        <v>0</v>
      </c>
      <c r="J22" s="156">
        <v>-11835</v>
      </c>
      <c r="K22" s="156">
        <v>-28306</v>
      </c>
      <c r="L22" s="156">
        <v>-49222</v>
      </c>
      <c r="M22" s="156">
        <v>-100393</v>
      </c>
      <c r="N22" s="156">
        <v>3331</v>
      </c>
      <c r="O22" s="156">
        <v>33513</v>
      </c>
      <c r="P22" s="156">
        <v>7029</v>
      </c>
      <c r="Q22" s="156">
        <v>-10476</v>
      </c>
      <c r="R22" s="156">
        <v>7607</v>
      </c>
      <c r="S22" s="156">
        <v>-30069</v>
      </c>
      <c r="T22" s="156">
        <v>-16014</v>
      </c>
      <c r="U22" s="156">
        <v>18269</v>
      </c>
      <c r="V22" s="156">
        <v>15514</v>
      </c>
      <c r="W22" s="156">
        <v>33114</v>
      </c>
      <c r="X22" s="156">
        <v>13426</v>
      </c>
      <c r="Y22" s="156">
        <v>23878</v>
      </c>
      <c r="Z22" s="156">
        <v>25149</v>
      </c>
      <c r="AA22" s="156">
        <v>23697</v>
      </c>
      <c r="AB22" s="156">
        <v>35092</v>
      </c>
      <c r="AC22" s="245"/>
    </row>
    <row r="23" spans="1:29" x14ac:dyDescent="0.25">
      <c r="A23" s="228" t="s">
        <v>348</v>
      </c>
      <c r="B23" s="259" t="s">
        <v>349</v>
      </c>
      <c r="C23" s="259" t="s">
        <v>349</v>
      </c>
      <c r="D23" s="259" t="s">
        <v>349</v>
      </c>
      <c r="E23" s="259" t="s">
        <v>349</v>
      </c>
      <c r="F23" s="259" t="s">
        <v>349</v>
      </c>
      <c r="G23" s="259" t="s">
        <v>349</v>
      </c>
      <c r="H23" s="259" t="s">
        <v>349</v>
      </c>
      <c r="I23" s="156">
        <v>37149</v>
      </c>
      <c r="J23" s="156">
        <v>2346</v>
      </c>
      <c r="K23" s="156">
        <v>-9382</v>
      </c>
      <c r="L23" s="156">
        <v>7002</v>
      </c>
      <c r="M23" s="156">
        <v>-221040</v>
      </c>
      <c r="N23" s="156">
        <v>7399</v>
      </c>
      <c r="O23" s="156">
        <v>-2008</v>
      </c>
      <c r="P23" s="156">
        <v>8655</v>
      </c>
      <c r="Q23" s="156">
        <v>7801</v>
      </c>
      <c r="R23" s="156">
        <v>9568</v>
      </c>
      <c r="S23" s="156">
        <v>-2925</v>
      </c>
      <c r="T23" s="156">
        <v>10289</v>
      </c>
      <c r="U23" s="156">
        <v>-355526</v>
      </c>
      <c r="V23" s="156">
        <v>2615</v>
      </c>
      <c r="W23" s="156">
        <v>-1014</v>
      </c>
      <c r="X23" s="156">
        <v>6657</v>
      </c>
      <c r="Y23" s="156">
        <v>55878</v>
      </c>
      <c r="Z23" s="156">
        <v>-2484</v>
      </c>
      <c r="AA23" s="156">
        <v>1096</v>
      </c>
      <c r="AB23" s="156">
        <v>1198</v>
      </c>
      <c r="AC23" s="245"/>
    </row>
    <row r="24" spans="1:29" x14ac:dyDescent="0.25">
      <c r="A24" s="228" t="s">
        <v>219</v>
      </c>
      <c r="B24" s="260">
        <v>0</v>
      </c>
      <c r="C24" s="260">
        <v>0</v>
      </c>
      <c r="D24" s="259">
        <v>-213</v>
      </c>
      <c r="E24" s="259">
        <v>-58</v>
      </c>
      <c r="F24" s="259">
        <v>121</v>
      </c>
      <c r="G24" s="259">
        <v>30</v>
      </c>
      <c r="H24" s="259">
        <v>618</v>
      </c>
      <c r="I24" s="156">
        <v>-411</v>
      </c>
      <c r="J24" s="156">
        <v>-147</v>
      </c>
      <c r="K24" s="156">
        <v>-104</v>
      </c>
      <c r="L24" s="156">
        <v>-186</v>
      </c>
      <c r="M24" s="156">
        <v>-20</v>
      </c>
      <c r="N24" s="156">
        <v>-72</v>
      </c>
      <c r="O24" s="156">
        <v>431</v>
      </c>
      <c r="P24" s="156">
        <v>-278</v>
      </c>
      <c r="Q24" s="156">
        <v>-1342</v>
      </c>
      <c r="R24" s="156">
        <v>78</v>
      </c>
      <c r="S24" s="156">
        <v>-37</v>
      </c>
      <c r="T24" s="156">
        <v>18</v>
      </c>
      <c r="U24" s="156">
        <v>186</v>
      </c>
      <c r="V24" s="156">
        <v>-508</v>
      </c>
      <c r="W24" s="156">
        <v>536</v>
      </c>
      <c r="X24" s="156">
        <v>259</v>
      </c>
      <c r="Y24" s="156">
        <v>308</v>
      </c>
      <c r="Z24" s="156">
        <v>-4</v>
      </c>
      <c r="AA24" s="156">
        <v>9926</v>
      </c>
      <c r="AB24" s="156">
        <v>-7379</v>
      </c>
      <c r="AC24" s="245"/>
    </row>
    <row r="25" spans="1:29" x14ac:dyDescent="0.25">
      <c r="A25" s="228" t="s">
        <v>350</v>
      </c>
      <c r="B25" s="259">
        <v>1510</v>
      </c>
      <c r="C25" s="259">
        <v>-12</v>
      </c>
      <c r="D25" s="259">
        <v>816</v>
      </c>
      <c r="E25" s="259">
        <v>-2525</v>
      </c>
      <c r="F25" s="260">
        <v>0</v>
      </c>
      <c r="G25" s="260">
        <v>0</v>
      </c>
      <c r="H25" s="260">
        <v>0</v>
      </c>
      <c r="I25" s="156">
        <v>-7058</v>
      </c>
      <c r="J25" s="156">
        <v>1803</v>
      </c>
      <c r="K25" s="156">
        <v>4996</v>
      </c>
      <c r="L25" s="156">
        <v>10186</v>
      </c>
      <c r="M25" s="156">
        <v>60708</v>
      </c>
      <c r="N25" s="156">
        <v>-2039</v>
      </c>
      <c r="O25" s="156">
        <v>-5984</v>
      </c>
      <c r="P25" s="156">
        <v>-2983</v>
      </c>
      <c r="Q25" s="156">
        <v>511</v>
      </c>
      <c r="R25" s="156">
        <v>-3261</v>
      </c>
      <c r="S25" s="156">
        <v>6269</v>
      </c>
      <c r="T25" s="156">
        <v>1087</v>
      </c>
      <c r="U25" s="156">
        <v>64077</v>
      </c>
      <c r="V25" s="156">
        <v>-3443</v>
      </c>
      <c r="W25" s="156">
        <v>-6103</v>
      </c>
      <c r="X25" s="156">
        <v>-3812</v>
      </c>
      <c r="Y25" s="156">
        <v>-15229</v>
      </c>
      <c r="Z25" s="156">
        <v>-4300</v>
      </c>
      <c r="AA25" s="156">
        <v>-4711</v>
      </c>
      <c r="AB25" s="156">
        <v>-6887</v>
      </c>
      <c r="AC25" s="245"/>
    </row>
    <row r="26" spans="1:29" x14ac:dyDescent="0.25">
      <c r="A26" s="186" t="s">
        <v>351</v>
      </c>
      <c r="B26" s="259">
        <v>-6438</v>
      </c>
      <c r="C26" s="259">
        <v>50</v>
      </c>
      <c r="D26" s="259">
        <v>-3692</v>
      </c>
      <c r="E26" s="259">
        <v>10710</v>
      </c>
      <c r="F26" s="259">
        <v>121</v>
      </c>
      <c r="G26" s="259">
        <v>30</v>
      </c>
      <c r="H26" s="259">
        <v>618</v>
      </c>
      <c r="I26" s="156">
        <v>29680</v>
      </c>
      <c r="J26" s="156">
        <v>-7833</v>
      </c>
      <c r="K26" s="156">
        <v>-21403</v>
      </c>
      <c r="L26" s="156">
        <v>-43613</v>
      </c>
      <c r="M26" s="156">
        <v>-260745</v>
      </c>
      <c r="N26" s="156">
        <v>8619</v>
      </c>
      <c r="O26" s="156">
        <v>25952</v>
      </c>
      <c r="P26" s="156">
        <v>12423</v>
      </c>
      <c r="Q26" s="156">
        <v>-3506</v>
      </c>
      <c r="R26" s="156">
        <v>13992</v>
      </c>
      <c r="S26" s="156">
        <v>-26762</v>
      </c>
      <c r="T26" s="156">
        <v>-4620</v>
      </c>
      <c r="U26" s="156">
        <v>-272994</v>
      </c>
      <c r="V26" s="156">
        <v>14178</v>
      </c>
      <c r="W26" s="156">
        <v>26533</v>
      </c>
      <c r="X26" s="156">
        <v>16530</v>
      </c>
      <c r="Y26" s="156">
        <v>64835</v>
      </c>
      <c r="Z26" s="156">
        <v>18361</v>
      </c>
      <c r="AA26" s="156">
        <v>30008</v>
      </c>
      <c r="AB26" s="156">
        <v>22024</v>
      </c>
      <c r="AC26" s="245"/>
    </row>
    <row r="27" spans="1:29" x14ac:dyDescent="0.25">
      <c r="A27" s="186" t="s">
        <v>352</v>
      </c>
      <c r="B27" s="259">
        <v>353149</v>
      </c>
      <c r="C27" s="259">
        <v>213424</v>
      </c>
      <c r="D27" s="259">
        <v>248411</v>
      </c>
      <c r="E27" s="259">
        <v>177029</v>
      </c>
      <c r="F27" s="259">
        <v>388092</v>
      </c>
      <c r="G27" s="259">
        <v>340006</v>
      </c>
      <c r="H27" s="259">
        <v>293027</v>
      </c>
      <c r="I27" s="156">
        <v>276258</v>
      </c>
      <c r="J27" s="156">
        <v>386864</v>
      </c>
      <c r="K27" s="156">
        <v>474121</v>
      </c>
      <c r="L27" s="156">
        <v>399235</v>
      </c>
      <c r="M27" s="156">
        <v>-43015</v>
      </c>
      <c r="N27" s="156">
        <v>589417</v>
      </c>
      <c r="O27" s="156">
        <v>337036</v>
      </c>
      <c r="P27" s="156">
        <v>384728</v>
      </c>
      <c r="Q27" s="156">
        <v>82253</v>
      </c>
      <c r="R27" s="156">
        <v>412678</v>
      </c>
      <c r="S27" s="156">
        <v>308474</v>
      </c>
      <c r="T27" s="156">
        <v>314516</v>
      </c>
      <c r="U27" s="156">
        <v>-140492</v>
      </c>
      <c r="V27" s="156">
        <v>516908</v>
      </c>
      <c r="W27" s="156">
        <v>244190</v>
      </c>
      <c r="X27" s="156">
        <v>375298</v>
      </c>
      <c r="Y27" s="156">
        <v>-2818535</v>
      </c>
      <c r="Z27" s="156">
        <v>342167</v>
      </c>
      <c r="AA27" s="156">
        <v>-289081</v>
      </c>
      <c r="AB27" s="156">
        <v>293439</v>
      </c>
      <c r="AC27" s="245"/>
    </row>
    <row r="28" spans="1:29" x14ac:dyDescent="0.25">
      <c r="A28" s="186" t="s">
        <v>353</v>
      </c>
      <c r="B28" s="259"/>
      <c r="C28" s="259"/>
      <c r="D28" s="259"/>
      <c r="E28" s="259"/>
      <c r="F28" s="259"/>
      <c r="G28" s="259"/>
      <c r="H28" s="259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49"/>
      <c r="V28" s="149"/>
      <c r="W28" s="149"/>
      <c r="X28" s="149"/>
      <c r="Y28" s="149"/>
      <c r="Z28" s="149"/>
      <c r="AA28" s="149"/>
      <c r="AC28" s="245"/>
    </row>
    <row r="29" spans="1:29" x14ac:dyDescent="0.25">
      <c r="A29" s="228" t="s">
        <v>228</v>
      </c>
      <c r="B29" s="259">
        <v>291813</v>
      </c>
      <c r="C29" s="259">
        <v>189954</v>
      </c>
      <c r="D29" s="259">
        <v>219831</v>
      </c>
      <c r="E29" s="259">
        <v>157058</v>
      </c>
      <c r="F29" s="259">
        <v>382471</v>
      </c>
      <c r="G29" s="259">
        <v>321562</v>
      </c>
      <c r="H29" s="259">
        <v>290471</v>
      </c>
      <c r="I29" s="156">
        <v>250612</v>
      </c>
      <c r="J29" s="156">
        <v>381164</v>
      </c>
      <c r="K29" s="156">
        <v>475837</v>
      </c>
      <c r="L29" s="156">
        <v>412197</v>
      </c>
      <c r="M29" s="156">
        <v>207194</v>
      </c>
      <c r="N29" s="156">
        <v>559158</v>
      </c>
      <c r="O29" s="156">
        <v>290074</v>
      </c>
      <c r="P29" s="156">
        <v>367062</v>
      </c>
      <c r="Q29" s="156">
        <v>95475</v>
      </c>
      <c r="R29" s="156">
        <v>395930</v>
      </c>
      <c r="S29" s="156">
        <v>334360</v>
      </c>
      <c r="T29" s="156">
        <v>318411</v>
      </c>
      <c r="U29" s="156">
        <v>132192</v>
      </c>
      <c r="V29" s="156">
        <v>502043</v>
      </c>
      <c r="W29" s="156">
        <v>216481</v>
      </c>
      <c r="X29" s="156">
        <v>358117</v>
      </c>
      <c r="Y29" s="156">
        <v>-2883958</v>
      </c>
      <c r="Z29" s="156">
        <v>323245</v>
      </c>
      <c r="AA29" s="156">
        <v>-319810</v>
      </c>
      <c r="AB29" s="156">
        <v>270848</v>
      </c>
      <c r="AC29" s="245"/>
    </row>
    <row r="30" spans="1:29" x14ac:dyDescent="0.25">
      <c r="A30" s="228" t="s">
        <v>229</v>
      </c>
      <c r="B30" s="259">
        <v>67774</v>
      </c>
      <c r="C30" s="259">
        <v>23420</v>
      </c>
      <c r="D30" s="259">
        <v>32272</v>
      </c>
      <c r="E30" s="259">
        <v>9261</v>
      </c>
      <c r="F30" s="259">
        <v>5500</v>
      </c>
      <c r="G30" s="259">
        <v>18414</v>
      </c>
      <c r="H30" s="259">
        <v>1938</v>
      </c>
      <c r="I30" s="156">
        <v>-4034</v>
      </c>
      <c r="J30" s="156">
        <v>13533</v>
      </c>
      <c r="K30" s="156">
        <v>19687</v>
      </c>
      <c r="L30" s="156">
        <v>30651</v>
      </c>
      <c r="M30" s="156">
        <v>10536</v>
      </c>
      <c r="N30" s="156">
        <v>21640</v>
      </c>
      <c r="O30" s="156">
        <v>21010</v>
      </c>
      <c r="P30" s="156">
        <v>5243</v>
      </c>
      <c r="Q30" s="156">
        <v>-9716</v>
      </c>
      <c r="R30" s="156">
        <v>2756</v>
      </c>
      <c r="S30" s="156">
        <v>876</v>
      </c>
      <c r="T30" s="156">
        <v>725</v>
      </c>
      <c r="U30" s="156">
        <v>310</v>
      </c>
      <c r="V30" s="156">
        <v>687</v>
      </c>
      <c r="W30" s="156">
        <v>1176</v>
      </c>
      <c r="X30" s="156">
        <v>651</v>
      </c>
      <c r="Y30" s="156">
        <v>588</v>
      </c>
      <c r="Z30" s="156">
        <v>561</v>
      </c>
      <c r="AA30" s="156">
        <v>721</v>
      </c>
      <c r="AB30" s="156">
        <v>567</v>
      </c>
      <c r="AC30" s="245"/>
    </row>
    <row r="31" spans="1:29" x14ac:dyDescent="0.25">
      <c r="A31" s="186" t="s">
        <v>230</v>
      </c>
      <c r="B31" s="259"/>
      <c r="C31" s="259"/>
      <c r="D31" s="259"/>
      <c r="E31" s="259"/>
      <c r="F31" s="259"/>
      <c r="G31" s="259"/>
      <c r="H31" s="259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245"/>
    </row>
    <row r="32" spans="1:29" x14ac:dyDescent="0.25">
      <c r="A32" s="228" t="s">
        <v>228</v>
      </c>
      <c r="B32" s="259">
        <v>286341</v>
      </c>
      <c r="C32" s="259">
        <v>189996</v>
      </c>
      <c r="D32" s="259">
        <v>216661</v>
      </c>
      <c r="E32" s="259">
        <v>166153</v>
      </c>
      <c r="F32" s="259">
        <v>382592</v>
      </c>
      <c r="G32" s="259">
        <v>321592</v>
      </c>
      <c r="H32" s="259">
        <v>291089</v>
      </c>
      <c r="I32" s="156">
        <v>278364</v>
      </c>
      <c r="J32" s="156">
        <v>373567</v>
      </c>
      <c r="K32" s="156">
        <v>454236</v>
      </c>
      <c r="L32" s="156">
        <v>368072</v>
      </c>
      <c r="M32" s="156">
        <v>-38258</v>
      </c>
      <c r="N32" s="156">
        <v>567108</v>
      </c>
      <c r="O32" s="156">
        <v>315216</v>
      </c>
      <c r="P32" s="156">
        <v>378666</v>
      </c>
      <c r="Q32" s="156">
        <v>91584</v>
      </c>
      <c r="R32" s="156">
        <v>409901</v>
      </c>
      <c r="S32" s="156">
        <v>307604</v>
      </c>
      <c r="T32" s="156">
        <v>313778</v>
      </c>
      <c r="U32" s="156">
        <v>-140404</v>
      </c>
      <c r="V32" s="156">
        <v>516213</v>
      </c>
      <c r="W32" s="156">
        <v>243020</v>
      </c>
      <c r="X32" s="156">
        <v>374636</v>
      </c>
      <c r="Y32" s="156">
        <v>-2819170</v>
      </c>
      <c r="Z32" s="156">
        <v>341606</v>
      </c>
      <c r="AA32" s="156">
        <v>-289802</v>
      </c>
      <c r="AB32" s="156">
        <v>292872</v>
      </c>
      <c r="AC32" s="245"/>
    </row>
    <row r="33" spans="1:29" x14ac:dyDescent="0.25">
      <c r="A33" s="263" t="s">
        <v>229</v>
      </c>
      <c r="B33" s="253">
        <v>66808</v>
      </c>
      <c r="C33" s="253">
        <v>23428</v>
      </c>
      <c r="D33" s="253">
        <v>31750</v>
      </c>
      <c r="E33" s="253">
        <v>10876</v>
      </c>
      <c r="F33" s="253">
        <v>5500</v>
      </c>
      <c r="G33" s="253">
        <v>18414</v>
      </c>
      <c r="H33" s="253">
        <v>1938</v>
      </c>
      <c r="I33" s="253">
        <v>-2106</v>
      </c>
      <c r="J33" s="253">
        <v>13297</v>
      </c>
      <c r="K33" s="253">
        <v>19885</v>
      </c>
      <c r="L33" s="253">
        <v>31163</v>
      </c>
      <c r="M33" s="253">
        <v>-4757</v>
      </c>
      <c r="N33" s="253">
        <v>22309</v>
      </c>
      <c r="O33" s="253">
        <v>21820</v>
      </c>
      <c r="P33" s="253">
        <v>6062</v>
      </c>
      <c r="Q33" s="253">
        <v>-9331</v>
      </c>
      <c r="R33" s="253">
        <v>2777</v>
      </c>
      <c r="S33" s="253">
        <v>870</v>
      </c>
      <c r="T33" s="253">
        <v>738</v>
      </c>
      <c r="U33" s="156">
        <v>-88</v>
      </c>
      <c r="V33" s="156">
        <v>695</v>
      </c>
      <c r="W33" s="156">
        <v>1170</v>
      </c>
      <c r="X33" s="156">
        <v>662</v>
      </c>
      <c r="Y33" s="156">
        <v>635</v>
      </c>
      <c r="Z33" s="156">
        <v>561</v>
      </c>
      <c r="AA33" s="156">
        <v>721</v>
      </c>
      <c r="AB33" s="156">
        <v>567</v>
      </c>
      <c r="AC33" s="245"/>
    </row>
    <row r="34" spans="1:29" x14ac:dyDescent="0.25">
      <c r="A34" s="183"/>
      <c r="B34" s="241"/>
      <c r="C34" s="241"/>
      <c r="D34" s="241"/>
      <c r="E34" s="241"/>
      <c r="F34" s="241"/>
      <c r="G34" s="241"/>
      <c r="H34" s="241"/>
      <c r="I34" s="241"/>
      <c r="J34" s="241"/>
      <c r="K34" s="264"/>
      <c r="L34" s="264"/>
      <c r="M34" s="241"/>
      <c r="N34" s="241"/>
      <c r="O34" s="264"/>
      <c r="P34" s="241"/>
      <c r="Q34" s="265"/>
      <c r="R34" s="265"/>
      <c r="S34" s="265"/>
      <c r="T34" s="265"/>
      <c r="U34" s="265"/>
      <c r="V34" s="265"/>
      <c r="W34" s="265"/>
      <c r="X34" s="265"/>
      <c r="Y34" s="265"/>
      <c r="Z34" s="265"/>
      <c r="AA34" s="265"/>
      <c r="AB34" s="265"/>
      <c r="AC34" s="245"/>
    </row>
    <row r="35" spans="1:29" x14ac:dyDescent="0.25">
      <c r="A35" s="257" t="s">
        <v>354</v>
      </c>
      <c r="B35" s="258"/>
      <c r="C35" s="258"/>
      <c r="D35" s="258"/>
      <c r="E35" s="258"/>
      <c r="F35" s="258"/>
      <c r="G35" s="258"/>
      <c r="H35" s="258"/>
      <c r="I35" s="258"/>
      <c r="J35" s="258"/>
      <c r="K35" s="156"/>
      <c r="L35" s="156"/>
      <c r="M35" s="258"/>
      <c r="N35" s="258"/>
      <c r="O35" s="156"/>
      <c r="P35" s="258"/>
      <c r="T35" s="244"/>
      <c r="U35" s="149"/>
      <c r="V35" s="149"/>
      <c r="W35" s="149"/>
      <c r="X35" s="149"/>
      <c r="Y35" s="149"/>
      <c r="Z35" s="149"/>
      <c r="AA35" s="149"/>
      <c r="AC35" s="245"/>
    </row>
    <row r="36" spans="1:29" x14ac:dyDescent="0.25">
      <c r="A36" s="229" t="s">
        <v>355</v>
      </c>
      <c r="B36" s="266">
        <v>0.19</v>
      </c>
      <c r="C36" s="266">
        <v>0.12</v>
      </c>
      <c r="D36" s="266">
        <v>0.14000000000000001</v>
      </c>
      <c r="E36" s="266">
        <v>0.09</v>
      </c>
      <c r="F36" s="266">
        <v>0.22</v>
      </c>
      <c r="G36" s="266">
        <v>0.18</v>
      </c>
      <c r="H36" s="266">
        <v>0.17</v>
      </c>
      <c r="I36" s="267">
        <v>0.14000000000000001</v>
      </c>
      <c r="J36" s="267">
        <v>0.22</v>
      </c>
      <c r="K36" s="267">
        <v>0.27</v>
      </c>
      <c r="L36" s="267">
        <v>0.23</v>
      </c>
      <c r="M36" s="267">
        <v>0.12</v>
      </c>
      <c r="N36" s="267">
        <v>0.32</v>
      </c>
      <c r="O36" s="267">
        <v>0.16</v>
      </c>
      <c r="P36" s="267">
        <v>0.21204497411158271</v>
      </c>
      <c r="Q36" s="267">
        <v>0.06</v>
      </c>
      <c r="R36" s="267">
        <v>0.23</v>
      </c>
      <c r="S36" s="267">
        <v>0.18999999999999997</v>
      </c>
      <c r="T36" s="267">
        <v>0.18168446555064682</v>
      </c>
      <c r="U36" s="268">
        <v>6.8315534449353205E-2</v>
      </c>
      <c r="V36" s="268">
        <v>0.28999999999999998</v>
      </c>
      <c r="W36" s="268">
        <v>0.12</v>
      </c>
      <c r="X36" s="268">
        <v>0.2</v>
      </c>
      <c r="Y36" s="268">
        <v>-1.64</v>
      </c>
      <c r="Z36" s="268">
        <v>0.18</v>
      </c>
      <c r="AA36" s="268">
        <v>-0.18</v>
      </c>
      <c r="AB36" s="268">
        <v>0.16</v>
      </c>
      <c r="AC36" s="245"/>
    </row>
    <row r="37" spans="1:29" x14ac:dyDescent="0.25"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T37" s="242"/>
    </row>
    <row r="38" spans="1:29" s="236" customFormat="1" ht="15.75" x14ac:dyDescent="0.25">
      <c r="A38" s="269" t="s">
        <v>232</v>
      </c>
      <c r="B38" s="270"/>
      <c r="C38" s="270"/>
      <c r="D38" s="270"/>
      <c r="E38" s="270"/>
      <c r="F38" s="270"/>
      <c r="G38" s="270"/>
      <c r="H38" s="270"/>
      <c r="I38" s="270"/>
      <c r="J38" s="270"/>
      <c r="K38" s="270"/>
      <c r="L38" s="270"/>
      <c r="M38" s="270"/>
      <c r="N38" s="270"/>
      <c r="O38" s="270"/>
      <c r="P38" s="270"/>
      <c r="T38" s="271"/>
    </row>
    <row r="39" spans="1:29" ht="25.5" x14ac:dyDescent="0.25">
      <c r="A39" s="145" t="s">
        <v>356</v>
      </c>
      <c r="B39" s="146" t="s">
        <v>357</v>
      </c>
      <c r="C39" s="146" t="s">
        <v>358</v>
      </c>
      <c r="D39" s="146" t="s">
        <v>359</v>
      </c>
      <c r="E39" s="146" t="s">
        <v>360</v>
      </c>
      <c r="F39" s="146" t="s">
        <v>361</v>
      </c>
      <c r="G39" s="146" t="s">
        <v>362</v>
      </c>
      <c r="H39" s="146" t="s">
        <v>363</v>
      </c>
      <c r="I39" s="239" t="s">
        <v>364</v>
      </c>
      <c r="J39" s="146" t="s">
        <v>365</v>
      </c>
      <c r="K39" s="146" t="s">
        <v>366</v>
      </c>
      <c r="L39" s="146" t="s">
        <v>367</v>
      </c>
      <c r="M39" s="239" t="s">
        <v>368</v>
      </c>
      <c r="N39" s="146" t="s">
        <v>369</v>
      </c>
      <c r="O39" s="146" t="s">
        <v>370</v>
      </c>
      <c r="P39" s="146" t="s">
        <v>371</v>
      </c>
      <c r="Q39" s="239" t="s">
        <v>372</v>
      </c>
      <c r="R39" s="146" t="s">
        <v>373</v>
      </c>
      <c r="S39" s="146" t="s">
        <v>374</v>
      </c>
      <c r="T39" s="272" t="s">
        <v>375</v>
      </c>
      <c r="U39" s="146" t="s">
        <v>376</v>
      </c>
      <c r="V39" s="146" t="s">
        <v>377</v>
      </c>
      <c r="W39" s="146" t="s">
        <v>378</v>
      </c>
      <c r="X39" s="146" t="s">
        <v>379</v>
      </c>
      <c r="Y39" s="146" t="s">
        <v>380</v>
      </c>
      <c r="Z39" s="146" t="s">
        <v>381</v>
      </c>
      <c r="AA39" s="146" t="s">
        <v>513</v>
      </c>
      <c r="AB39" s="146" t="s">
        <v>532</v>
      </c>
    </row>
    <row r="40" spans="1:29" x14ac:dyDescent="0.25">
      <c r="A40" s="183" t="s">
        <v>235</v>
      </c>
      <c r="B40" s="156"/>
      <c r="C40" s="156"/>
      <c r="D40" s="156"/>
      <c r="E40" s="156"/>
      <c r="F40" s="156"/>
      <c r="G40" s="156"/>
      <c r="H40" s="245"/>
      <c r="I40" s="245"/>
      <c r="J40" s="245"/>
      <c r="K40" s="245"/>
      <c r="L40" s="245"/>
      <c r="M40" s="245"/>
      <c r="N40" s="245"/>
      <c r="O40" s="245"/>
      <c r="P40" s="245"/>
      <c r="T40" s="242"/>
    </row>
    <row r="41" spans="1:29" x14ac:dyDescent="0.25">
      <c r="A41" s="183" t="s">
        <v>236</v>
      </c>
      <c r="B41" s="156"/>
      <c r="C41" s="156"/>
      <c r="D41" s="156"/>
      <c r="E41" s="156"/>
      <c r="F41" s="156"/>
      <c r="G41" s="156"/>
      <c r="H41" s="245"/>
      <c r="I41" s="245"/>
      <c r="J41" s="245"/>
      <c r="K41" s="245"/>
      <c r="L41" s="245"/>
      <c r="M41" s="245"/>
      <c r="N41" s="245"/>
      <c r="O41" s="245"/>
      <c r="P41" s="245"/>
      <c r="T41" s="242"/>
    </row>
    <row r="42" spans="1:29" x14ac:dyDescent="0.25">
      <c r="A42" s="183" t="s">
        <v>237</v>
      </c>
      <c r="B42" s="156">
        <v>17108018</v>
      </c>
      <c r="C42" s="156">
        <v>17123302</v>
      </c>
      <c r="D42" s="156">
        <v>17113632</v>
      </c>
      <c r="E42" s="156">
        <v>17524936</v>
      </c>
      <c r="F42" s="156">
        <v>17402446</v>
      </c>
      <c r="G42" s="156">
        <v>17600406</v>
      </c>
      <c r="H42" s="156">
        <v>18040324</v>
      </c>
      <c r="I42" s="156">
        <v>21636317</v>
      </c>
      <c r="J42" s="156">
        <v>22013708</v>
      </c>
      <c r="K42" s="156">
        <v>22298453</v>
      </c>
      <c r="L42" s="156">
        <v>22639534</v>
      </c>
      <c r="M42" s="156">
        <v>23300643</v>
      </c>
      <c r="N42" s="156">
        <v>24223173</v>
      </c>
      <c r="O42" s="156">
        <v>23575461</v>
      </c>
      <c r="P42" s="156">
        <v>24147608</v>
      </c>
      <c r="Q42" s="156">
        <v>25127639</v>
      </c>
      <c r="R42" s="156">
        <v>25237787</v>
      </c>
      <c r="S42" s="156">
        <v>25446259</v>
      </c>
      <c r="T42" s="244">
        <v>25740388</v>
      </c>
      <c r="U42" s="244">
        <v>24850942</v>
      </c>
      <c r="V42" s="244">
        <v>25198531</v>
      </c>
      <c r="W42" s="244">
        <v>25738123</v>
      </c>
      <c r="X42" s="244">
        <v>26239783</v>
      </c>
      <c r="Y42" s="244">
        <v>24882817</v>
      </c>
      <c r="Z42" s="244">
        <v>25330290</v>
      </c>
      <c r="AA42" s="244">
        <v>25066173</v>
      </c>
      <c r="AB42" s="244">
        <v>25637117</v>
      </c>
    </row>
    <row r="43" spans="1:29" x14ac:dyDescent="0.25">
      <c r="A43" s="183" t="s">
        <v>238</v>
      </c>
      <c r="B43" s="349" t="s">
        <v>382</v>
      </c>
      <c r="C43" s="349" t="s">
        <v>383</v>
      </c>
      <c r="D43" s="349" t="s">
        <v>384</v>
      </c>
      <c r="E43" s="349" t="s">
        <v>385</v>
      </c>
      <c r="F43" s="349" t="s">
        <v>386</v>
      </c>
      <c r="G43" s="349" t="s">
        <v>387</v>
      </c>
      <c r="H43" s="349" t="s">
        <v>388</v>
      </c>
      <c r="I43" s="156">
        <v>247057</v>
      </c>
      <c r="J43" s="349" t="s">
        <v>389</v>
      </c>
      <c r="K43" s="349" t="s">
        <v>390</v>
      </c>
      <c r="L43" s="349" t="s">
        <v>391</v>
      </c>
      <c r="M43" s="156">
        <v>247057</v>
      </c>
      <c r="N43" s="349" t="s">
        <v>392</v>
      </c>
      <c r="O43" s="349" t="s">
        <v>393</v>
      </c>
      <c r="P43" s="349" t="s">
        <v>394</v>
      </c>
      <c r="Q43" s="156">
        <v>247057</v>
      </c>
      <c r="R43" s="156">
        <v>247057</v>
      </c>
      <c r="S43" s="156">
        <v>247057</v>
      </c>
      <c r="T43" s="244">
        <v>247057</v>
      </c>
      <c r="U43" s="244">
        <v>195155</v>
      </c>
      <c r="V43" s="244">
        <v>195155</v>
      </c>
      <c r="W43" s="244">
        <v>195155</v>
      </c>
      <c r="X43" s="244">
        <v>195155</v>
      </c>
      <c r="Y43" s="244">
        <v>92059</v>
      </c>
      <c r="Z43" s="244">
        <v>92059</v>
      </c>
      <c r="AA43" s="244">
        <v>40156</v>
      </c>
      <c r="AB43" s="244">
        <v>40156</v>
      </c>
    </row>
    <row r="44" spans="1:29" x14ac:dyDescent="0.25">
      <c r="A44" s="183" t="s">
        <v>395</v>
      </c>
      <c r="B44" s="350"/>
      <c r="C44" s="350"/>
      <c r="D44" s="350"/>
      <c r="E44" s="350"/>
      <c r="F44" s="350"/>
      <c r="G44" s="350"/>
      <c r="H44" s="350"/>
      <c r="I44" s="156">
        <f>1399674-247057</f>
        <v>1152617</v>
      </c>
      <c r="J44" s="350"/>
      <c r="K44" s="350"/>
      <c r="L44" s="350"/>
      <c r="M44" s="156">
        <f>1429313-247057</f>
        <v>1182256</v>
      </c>
      <c r="N44" s="350"/>
      <c r="O44" s="350"/>
      <c r="P44" s="350"/>
      <c r="Q44" s="156">
        <v>1160005</v>
      </c>
      <c r="R44" s="156">
        <v>1202192</v>
      </c>
      <c r="S44" s="156">
        <v>1262910</v>
      </c>
      <c r="T44" s="244">
        <v>1283571</v>
      </c>
      <c r="U44" s="244">
        <v>1604634</v>
      </c>
      <c r="V44" s="244">
        <v>1247088</v>
      </c>
      <c r="W44" s="244">
        <v>1271029</v>
      </c>
      <c r="X44" s="244">
        <v>1295459</v>
      </c>
      <c r="Y44" s="244">
        <v>1693605</v>
      </c>
      <c r="Z44" s="244">
        <v>1264766</v>
      </c>
      <c r="AA44" s="244">
        <v>1292124</v>
      </c>
      <c r="AB44" s="244">
        <v>1331601</v>
      </c>
    </row>
    <row r="45" spans="1:29" x14ac:dyDescent="0.25">
      <c r="A45" s="183" t="s">
        <v>396</v>
      </c>
      <c r="B45" s="273">
        <v>0</v>
      </c>
      <c r="C45" s="273">
        <v>0</v>
      </c>
      <c r="D45" s="273">
        <v>0</v>
      </c>
      <c r="E45" s="156">
        <v>764</v>
      </c>
      <c r="F45" s="156">
        <v>13467</v>
      </c>
      <c r="G45" s="156">
        <v>13223</v>
      </c>
      <c r="H45" s="156">
        <v>23037</v>
      </c>
      <c r="I45" s="156">
        <v>22717</v>
      </c>
      <c r="J45" s="156">
        <v>22364</v>
      </c>
      <c r="K45" s="156">
        <v>22046</v>
      </c>
      <c r="L45" s="156">
        <v>54320</v>
      </c>
      <c r="M45" s="156">
        <v>51986</v>
      </c>
      <c r="N45" s="156">
        <v>49939</v>
      </c>
      <c r="O45" s="156">
        <v>48079</v>
      </c>
      <c r="P45" s="156">
        <v>46353</v>
      </c>
      <c r="Q45" s="156">
        <v>44398</v>
      </c>
      <c r="R45" s="156">
        <v>42837</v>
      </c>
      <c r="S45" s="156">
        <v>41286</v>
      </c>
      <c r="T45" s="244">
        <v>39689</v>
      </c>
      <c r="U45" s="244">
        <v>414584</v>
      </c>
      <c r="V45" s="244">
        <v>434010</v>
      </c>
      <c r="W45" s="244">
        <v>417429</v>
      </c>
      <c r="X45" s="244">
        <v>411881</v>
      </c>
      <c r="Y45" s="244">
        <v>418127</v>
      </c>
      <c r="Z45" s="244">
        <v>441190</v>
      </c>
      <c r="AA45" s="244">
        <v>462202</v>
      </c>
      <c r="AB45" s="244">
        <v>474615</v>
      </c>
    </row>
    <row r="46" spans="1:29" x14ac:dyDescent="0.25">
      <c r="A46" s="183" t="s">
        <v>243</v>
      </c>
      <c r="B46" s="156">
        <v>176028</v>
      </c>
      <c r="C46" s="156">
        <v>208162</v>
      </c>
      <c r="D46" s="156">
        <v>207431</v>
      </c>
      <c r="E46" s="156">
        <v>177452</v>
      </c>
      <c r="F46" s="156">
        <v>193679</v>
      </c>
      <c r="G46" s="156">
        <v>185086</v>
      </c>
      <c r="H46" s="156">
        <v>306768</v>
      </c>
      <c r="I46" s="156">
        <v>193067</v>
      </c>
      <c r="J46" s="156">
        <v>197296</v>
      </c>
      <c r="K46" s="156">
        <v>271600</v>
      </c>
      <c r="L46" s="156">
        <v>246667</v>
      </c>
      <c r="M46" s="156">
        <v>305444</v>
      </c>
      <c r="N46" s="156">
        <v>343898</v>
      </c>
      <c r="O46" s="156">
        <v>377177</v>
      </c>
      <c r="P46" s="156">
        <v>380498</v>
      </c>
      <c r="Q46" s="156">
        <v>587166</v>
      </c>
      <c r="R46" s="156">
        <v>359305</v>
      </c>
      <c r="S46" s="156">
        <v>358775</v>
      </c>
      <c r="T46" s="244">
        <v>373664</v>
      </c>
      <c r="U46" s="244">
        <v>377383</v>
      </c>
      <c r="V46" s="244">
        <v>397611</v>
      </c>
      <c r="W46" s="244">
        <v>401622</v>
      </c>
      <c r="X46" s="244">
        <v>410692</v>
      </c>
      <c r="Y46" s="244">
        <v>433018</v>
      </c>
      <c r="Z46" s="244">
        <v>461673</v>
      </c>
      <c r="AA46" s="244">
        <v>463419</v>
      </c>
      <c r="AB46" s="244">
        <v>471433</v>
      </c>
    </row>
    <row r="47" spans="1:29" x14ac:dyDescent="0.25">
      <c r="A47" s="183" t="s">
        <v>244</v>
      </c>
      <c r="B47" s="156">
        <v>85939</v>
      </c>
      <c r="C47" s="156">
        <v>123597</v>
      </c>
      <c r="D47" s="156">
        <v>123672</v>
      </c>
      <c r="E47" s="156">
        <v>181832</v>
      </c>
      <c r="F47" s="156">
        <v>147024</v>
      </c>
      <c r="G47" s="156">
        <v>138413</v>
      </c>
      <c r="H47" s="156">
        <v>118415</v>
      </c>
      <c r="I47" s="156">
        <v>144923</v>
      </c>
      <c r="J47" s="156">
        <v>217563</v>
      </c>
      <c r="K47" s="156">
        <v>216155</v>
      </c>
      <c r="L47" s="156">
        <v>293905</v>
      </c>
      <c r="M47" s="156">
        <v>359709</v>
      </c>
      <c r="N47" s="156">
        <v>387967</v>
      </c>
      <c r="O47" s="156">
        <v>403902</v>
      </c>
      <c r="P47" s="156">
        <v>460511</v>
      </c>
      <c r="Q47" s="156">
        <v>354704</v>
      </c>
      <c r="R47" s="156">
        <v>355911</v>
      </c>
      <c r="S47" s="156">
        <v>568819</v>
      </c>
      <c r="T47" s="244">
        <v>562331</v>
      </c>
      <c r="U47" s="244">
        <v>657943</v>
      </c>
      <c r="V47" s="244">
        <v>692424</v>
      </c>
      <c r="W47" s="244">
        <v>618471</v>
      </c>
      <c r="X47" s="244">
        <v>559551</v>
      </c>
      <c r="Y47" s="244">
        <v>550375</v>
      </c>
      <c r="Z47" s="244">
        <v>564338</v>
      </c>
      <c r="AA47" s="244">
        <v>514318</v>
      </c>
      <c r="AB47" s="244">
        <v>465787</v>
      </c>
    </row>
    <row r="48" spans="1:29" x14ac:dyDescent="0.25">
      <c r="A48" s="202" t="s">
        <v>397</v>
      </c>
      <c r="B48" s="208">
        <v>113834</v>
      </c>
      <c r="C48" s="208">
        <v>126835</v>
      </c>
      <c r="D48" s="208">
        <v>147199</v>
      </c>
      <c r="E48" s="208">
        <v>163063</v>
      </c>
      <c r="F48" s="208">
        <v>158726</v>
      </c>
      <c r="G48" s="208">
        <v>158197</v>
      </c>
      <c r="H48" s="208">
        <v>159807</v>
      </c>
      <c r="I48" s="208">
        <v>20079</v>
      </c>
      <c r="J48" s="208">
        <v>8487</v>
      </c>
      <c r="K48" s="208">
        <v>25684</v>
      </c>
      <c r="L48" s="208">
        <v>16219</v>
      </c>
      <c r="M48" s="208">
        <v>24135</v>
      </c>
      <c r="N48" s="208">
        <v>31855</v>
      </c>
      <c r="O48" s="208">
        <v>40791</v>
      </c>
      <c r="P48" s="208">
        <v>42727</v>
      </c>
      <c r="Q48" s="208">
        <v>46039</v>
      </c>
      <c r="R48" s="208">
        <v>33505</v>
      </c>
      <c r="S48" s="208">
        <v>28908</v>
      </c>
      <c r="T48" s="248">
        <v>35093</v>
      </c>
      <c r="U48" s="248">
        <v>62108</v>
      </c>
      <c r="V48" s="248">
        <v>35086</v>
      </c>
      <c r="W48" s="248">
        <v>49650</v>
      </c>
      <c r="X48" s="248">
        <v>53427</v>
      </c>
      <c r="Y48" s="248">
        <v>54184</v>
      </c>
      <c r="Z48" s="248">
        <v>52696</v>
      </c>
      <c r="AA48" s="248">
        <v>65730</v>
      </c>
      <c r="AB48" s="248">
        <v>65758</v>
      </c>
    </row>
    <row r="49" spans="1:28" x14ac:dyDescent="0.25">
      <c r="A49" s="274"/>
      <c r="B49" s="188">
        <v>18034400</v>
      </c>
      <c r="C49" s="188">
        <v>18242724</v>
      </c>
      <c r="D49" s="188">
        <v>18382485</v>
      </c>
      <c r="E49" s="188">
        <v>18394387</v>
      </c>
      <c r="F49" s="188">
        <v>18700543</v>
      </c>
      <c r="G49" s="188">
        <v>18961611</v>
      </c>
      <c r="H49" s="188">
        <v>19706773</v>
      </c>
      <c r="I49" s="188">
        <v>23416777</v>
      </c>
      <c r="J49" s="188">
        <v>23446281</v>
      </c>
      <c r="K49" s="188">
        <v>23849197</v>
      </c>
      <c r="L49" s="188">
        <v>24272950</v>
      </c>
      <c r="M49" s="188">
        <v>25471230</v>
      </c>
      <c r="N49" s="188">
        <v>25650887</v>
      </c>
      <c r="O49" s="188">
        <v>25933097</v>
      </c>
      <c r="P49" s="188">
        <v>26595950</v>
      </c>
      <c r="Q49" s="188">
        <v>27567008</v>
      </c>
      <c r="R49" s="188">
        <v>27478594</v>
      </c>
      <c r="S49" s="188">
        <v>27954014</v>
      </c>
      <c r="T49" s="188">
        <v>28281793</v>
      </c>
      <c r="U49" s="188">
        <v>28162749</v>
      </c>
      <c r="V49" s="188">
        <v>28199905</v>
      </c>
      <c r="W49" s="188">
        <v>28691479</v>
      </c>
      <c r="X49" s="188">
        <v>29165948</v>
      </c>
      <c r="Y49" s="188">
        <v>28124185</v>
      </c>
      <c r="Z49" s="188">
        <v>28207012</v>
      </c>
      <c r="AA49" s="188">
        <v>27904122</v>
      </c>
      <c r="AB49" s="188">
        <v>28486467</v>
      </c>
    </row>
    <row r="50" spans="1:28" x14ac:dyDescent="0.25">
      <c r="A50" s="186" t="s">
        <v>246</v>
      </c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T50" s="244"/>
      <c r="U50" s="244"/>
      <c r="V50" s="244"/>
      <c r="W50" s="244"/>
      <c r="X50" s="244"/>
      <c r="Y50" s="244"/>
      <c r="Z50" s="244"/>
      <c r="AA50" s="244"/>
    </row>
    <row r="51" spans="1:28" x14ac:dyDescent="0.25">
      <c r="A51" s="186" t="s">
        <v>398</v>
      </c>
      <c r="B51" s="275" t="s">
        <v>349</v>
      </c>
      <c r="C51" s="275" t="s">
        <v>349</v>
      </c>
      <c r="D51" s="275" t="s">
        <v>349</v>
      </c>
      <c r="E51" s="276">
        <v>624190</v>
      </c>
      <c r="F51" s="275" t="s">
        <v>349</v>
      </c>
      <c r="G51" s="275" t="s">
        <v>349</v>
      </c>
      <c r="H51" s="275" t="s">
        <v>349</v>
      </c>
      <c r="I51" s="188">
        <v>870954</v>
      </c>
      <c r="J51" s="188">
        <v>743420</v>
      </c>
      <c r="K51" s="188">
        <v>668742</v>
      </c>
      <c r="L51" s="188">
        <v>627786</v>
      </c>
      <c r="M51" s="188">
        <v>711099</v>
      </c>
      <c r="N51" s="276">
        <v>292319</v>
      </c>
      <c r="O51" s="188">
        <v>429828</v>
      </c>
      <c r="P51" s="188">
        <v>627524</v>
      </c>
      <c r="Q51" s="188">
        <v>1156550</v>
      </c>
      <c r="R51" s="188">
        <v>746775</v>
      </c>
      <c r="S51" s="188">
        <v>504066</v>
      </c>
      <c r="T51" s="188">
        <v>688814</v>
      </c>
      <c r="U51" s="276">
        <v>733048</v>
      </c>
      <c r="V51" s="188">
        <v>613984</v>
      </c>
      <c r="W51" s="188">
        <v>646617</v>
      </c>
      <c r="X51" s="188">
        <v>737632</v>
      </c>
      <c r="Y51" s="188">
        <v>805388</v>
      </c>
      <c r="Z51" s="188">
        <v>732752</v>
      </c>
      <c r="AA51" s="188">
        <v>648516</v>
      </c>
      <c r="AB51" s="188">
        <v>714412</v>
      </c>
    </row>
    <row r="52" spans="1:28" x14ac:dyDescent="0.25">
      <c r="A52" s="186" t="s">
        <v>247</v>
      </c>
      <c r="B52" s="188">
        <v>445805</v>
      </c>
      <c r="C52" s="188">
        <v>439363</v>
      </c>
      <c r="D52" s="188">
        <v>439203</v>
      </c>
      <c r="E52" s="188">
        <v>408560</v>
      </c>
      <c r="F52" s="188">
        <v>352719</v>
      </c>
      <c r="G52" s="188">
        <v>388935</v>
      </c>
      <c r="H52" s="188">
        <v>405237</v>
      </c>
      <c r="I52" s="188">
        <v>574790</v>
      </c>
      <c r="J52" s="188">
        <v>538761</v>
      </c>
      <c r="K52" s="188">
        <v>532534</v>
      </c>
      <c r="L52" s="188">
        <v>504511</v>
      </c>
      <c r="M52" s="188">
        <v>708282</v>
      </c>
      <c r="N52" s="188">
        <v>533231</v>
      </c>
      <c r="O52" s="188">
        <v>464339</v>
      </c>
      <c r="P52" s="188">
        <v>476475</v>
      </c>
      <c r="Q52" s="188">
        <v>509224</v>
      </c>
      <c r="R52" s="188">
        <v>504152</v>
      </c>
      <c r="S52" s="188">
        <v>474560</v>
      </c>
      <c r="T52" s="188">
        <v>546739</v>
      </c>
      <c r="U52" s="188">
        <v>527596</v>
      </c>
      <c r="V52" s="188">
        <v>481059</v>
      </c>
      <c r="W52" s="188">
        <v>404450</v>
      </c>
      <c r="X52" s="188">
        <v>361351</v>
      </c>
      <c r="Y52" s="188">
        <v>433279</v>
      </c>
      <c r="Z52" s="188">
        <v>419298</v>
      </c>
      <c r="AA52" s="188">
        <v>404983</v>
      </c>
      <c r="AB52" s="188">
        <v>425213</v>
      </c>
    </row>
    <row r="53" spans="1:28" x14ac:dyDescent="0.25">
      <c r="A53" s="186" t="s">
        <v>399</v>
      </c>
      <c r="B53" s="188">
        <v>44780</v>
      </c>
      <c r="C53" s="188">
        <v>43485</v>
      </c>
      <c r="D53" s="188">
        <v>48665</v>
      </c>
      <c r="E53" s="188">
        <v>74749</v>
      </c>
      <c r="F53" s="188">
        <v>65922</v>
      </c>
      <c r="G53" s="188">
        <v>14991</v>
      </c>
      <c r="H53" s="188">
        <v>26130</v>
      </c>
      <c r="I53" s="188">
        <v>64266</v>
      </c>
      <c r="J53" s="188">
        <v>122844</v>
      </c>
      <c r="K53" s="188">
        <v>78389</v>
      </c>
      <c r="L53" s="188">
        <v>19638</v>
      </c>
      <c r="M53" s="188">
        <v>1434</v>
      </c>
      <c r="N53" s="188">
        <v>119959</v>
      </c>
      <c r="O53" s="188">
        <v>23188</v>
      </c>
      <c r="P53" s="188">
        <v>801</v>
      </c>
      <c r="Q53" s="188">
        <v>31890</v>
      </c>
      <c r="R53" s="188">
        <v>82673</v>
      </c>
      <c r="S53" s="188">
        <v>92261</v>
      </c>
      <c r="T53" s="188">
        <v>14476</v>
      </c>
      <c r="U53" s="188">
        <v>26489</v>
      </c>
      <c r="V53" s="188">
        <v>5410</v>
      </c>
      <c r="W53" s="188">
        <v>53805</v>
      </c>
      <c r="X53" s="188">
        <v>1281</v>
      </c>
      <c r="Y53" s="188">
        <v>909</v>
      </c>
      <c r="Z53" s="188">
        <v>114921</v>
      </c>
      <c r="AA53" s="188">
        <v>27726</v>
      </c>
      <c r="AB53" s="188">
        <v>1114</v>
      </c>
    </row>
    <row r="54" spans="1:28" x14ac:dyDescent="0.25">
      <c r="A54" s="186" t="s">
        <v>400</v>
      </c>
      <c r="B54" s="188">
        <v>2162303</v>
      </c>
      <c r="C54" s="188">
        <v>2008653</v>
      </c>
      <c r="D54" s="188">
        <v>2039137</v>
      </c>
      <c r="E54" s="188">
        <v>2273145</v>
      </c>
      <c r="F54" s="188">
        <v>2483396</v>
      </c>
      <c r="G54" s="188">
        <v>2422059</v>
      </c>
      <c r="H54" s="188">
        <v>2237749</v>
      </c>
      <c r="I54" s="188">
        <v>2743344</v>
      </c>
      <c r="J54" s="188">
        <v>3115010</v>
      </c>
      <c r="K54" s="188">
        <v>2815297</v>
      </c>
      <c r="L54" s="188">
        <v>2850291</v>
      </c>
      <c r="M54" s="188">
        <v>3036695</v>
      </c>
      <c r="N54" s="188">
        <v>2842352</v>
      </c>
      <c r="O54" s="188">
        <v>2585447</v>
      </c>
      <c r="P54" s="188">
        <v>2137635</v>
      </c>
      <c r="Q54" s="188">
        <v>2134641</v>
      </c>
      <c r="R54" s="188">
        <v>2148195</v>
      </c>
      <c r="S54" s="188">
        <v>1933061</v>
      </c>
      <c r="T54" s="188">
        <v>1979723</v>
      </c>
      <c r="U54" s="188">
        <v>1969169</v>
      </c>
      <c r="V54" s="188">
        <v>1969398</v>
      </c>
      <c r="W54" s="188">
        <v>1879766</v>
      </c>
      <c r="X54" s="188">
        <v>1811345</v>
      </c>
      <c r="Y54" s="188">
        <v>1854595</v>
      </c>
      <c r="Z54" s="188">
        <v>1919208</v>
      </c>
      <c r="AA54" s="188">
        <v>1864857</v>
      </c>
      <c r="AB54" s="188">
        <v>1755039</v>
      </c>
    </row>
    <row r="55" spans="1:28" x14ac:dyDescent="0.25">
      <c r="A55" s="186" t="s">
        <v>243</v>
      </c>
      <c r="B55" s="188">
        <v>100201</v>
      </c>
      <c r="C55" s="188">
        <v>42320</v>
      </c>
      <c r="D55" s="188">
        <v>57343</v>
      </c>
      <c r="E55" s="188">
        <v>28193</v>
      </c>
      <c r="F55" s="188">
        <v>18874</v>
      </c>
      <c r="G55" s="188">
        <v>9745</v>
      </c>
      <c r="H55" s="188">
        <v>9306</v>
      </c>
      <c r="I55" s="188">
        <v>108024</v>
      </c>
      <c r="J55" s="188">
        <v>4762</v>
      </c>
      <c r="K55" s="188">
        <v>9070</v>
      </c>
      <c r="L55" s="188">
        <v>12640</v>
      </c>
      <c r="M55" s="188">
        <v>5422</v>
      </c>
      <c r="N55" s="188">
        <v>9065</v>
      </c>
      <c r="O55" s="188">
        <v>11180</v>
      </c>
      <c r="P55" s="188">
        <v>6596</v>
      </c>
      <c r="Q55" s="188">
        <v>15878</v>
      </c>
      <c r="R55" s="188">
        <v>16103</v>
      </c>
      <c r="S55" s="188">
        <v>16510</v>
      </c>
      <c r="T55" s="188">
        <v>18525</v>
      </c>
      <c r="U55" s="188">
        <v>27539</v>
      </c>
      <c r="V55" s="188">
        <v>27458</v>
      </c>
      <c r="W55" s="188">
        <v>6359</v>
      </c>
      <c r="X55" s="188">
        <v>7518</v>
      </c>
      <c r="Y55" s="188">
        <v>9772</v>
      </c>
      <c r="Z55" s="188">
        <v>67454</v>
      </c>
      <c r="AA55" s="188">
        <v>83558</v>
      </c>
      <c r="AB55" s="188">
        <v>64093</v>
      </c>
    </row>
    <row r="56" spans="1:28" x14ac:dyDescent="0.25">
      <c r="A56" s="186" t="s">
        <v>244</v>
      </c>
      <c r="B56" s="188">
        <v>256526</v>
      </c>
      <c r="C56" s="188">
        <v>185158</v>
      </c>
      <c r="D56" s="188">
        <v>157067</v>
      </c>
      <c r="E56" s="188">
        <v>145361</v>
      </c>
      <c r="F56" s="188">
        <v>314109</v>
      </c>
      <c r="G56" s="188">
        <v>226633</v>
      </c>
      <c r="H56" s="188">
        <v>187315</v>
      </c>
      <c r="I56" s="188">
        <v>234220</v>
      </c>
      <c r="J56" s="188">
        <v>324360</v>
      </c>
      <c r="K56" s="188">
        <v>296724</v>
      </c>
      <c r="L56" s="188">
        <v>226180</v>
      </c>
      <c r="M56" s="188">
        <v>272371</v>
      </c>
      <c r="N56" s="188">
        <v>260385</v>
      </c>
      <c r="O56" s="188">
        <v>294057</v>
      </c>
      <c r="P56" s="188">
        <v>198037</v>
      </c>
      <c r="Q56" s="188">
        <v>270429</v>
      </c>
      <c r="R56" s="188">
        <v>319724</v>
      </c>
      <c r="S56" s="188">
        <v>342953</v>
      </c>
      <c r="T56" s="188">
        <v>289821</v>
      </c>
      <c r="U56" s="188">
        <v>353989</v>
      </c>
      <c r="V56" s="188">
        <v>405087</v>
      </c>
      <c r="W56" s="188">
        <v>380516</v>
      </c>
      <c r="X56" s="188">
        <v>352176</v>
      </c>
      <c r="Y56" s="188">
        <v>460495</v>
      </c>
      <c r="Z56" s="188">
        <v>411530</v>
      </c>
      <c r="AA56" s="188">
        <v>292654</v>
      </c>
      <c r="AB56" s="188">
        <v>195418</v>
      </c>
    </row>
    <row r="57" spans="1:28" x14ac:dyDescent="0.25">
      <c r="A57" s="186" t="s">
        <v>250</v>
      </c>
      <c r="B57" s="188">
        <v>758148</v>
      </c>
      <c r="C57" s="188">
        <v>1049221</v>
      </c>
      <c r="D57" s="188">
        <v>1387071</v>
      </c>
      <c r="E57" s="188">
        <v>1473981</v>
      </c>
      <c r="F57" s="188">
        <v>850022</v>
      </c>
      <c r="G57" s="188">
        <v>1376104</v>
      </c>
      <c r="H57" s="188">
        <v>884604</v>
      </c>
      <c r="I57" s="188">
        <v>505670</v>
      </c>
      <c r="J57" s="188">
        <v>546203</v>
      </c>
      <c r="K57" s="188">
        <v>705020</v>
      </c>
      <c r="L57" s="188">
        <v>1149481</v>
      </c>
      <c r="M57" s="188">
        <v>1030929</v>
      </c>
      <c r="N57" s="188">
        <v>1007246</v>
      </c>
      <c r="O57" s="188">
        <v>912712</v>
      </c>
      <c r="P57" s="188">
        <v>1346190</v>
      </c>
      <c r="Q57" s="188">
        <v>636909</v>
      </c>
      <c r="R57" s="188">
        <v>347699</v>
      </c>
      <c r="S57" s="188">
        <v>246144</v>
      </c>
      <c r="T57" s="188">
        <v>303515</v>
      </c>
      <c r="U57" s="188">
        <v>1420909</v>
      </c>
      <c r="V57" s="188">
        <v>1124268</v>
      </c>
      <c r="W57" s="188">
        <v>915135</v>
      </c>
      <c r="X57" s="188">
        <v>1114760</v>
      </c>
      <c r="Y57" s="188">
        <v>364912</v>
      </c>
      <c r="Z57" s="188">
        <v>360118</v>
      </c>
      <c r="AA57" s="188">
        <v>422123</v>
      </c>
      <c r="AB57" s="188">
        <v>261017</v>
      </c>
    </row>
    <row r="58" spans="1:28" x14ac:dyDescent="0.25">
      <c r="A58" s="202" t="s">
        <v>401</v>
      </c>
      <c r="B58" s="208">
        <v>5820</v>
      </c>
      <c r="C58" s="208">
        <v>5778</v>
      </c>
      <c r="D58" s="208">
        <v>4205</v>
      </c>
      <c r="E58" s="208">
        <v>4397</v>
      </c>
      <c r="F58" s="208">
        <v>4397</v>
      </c>
      <c r="G58" s="208">
        <v>4397</v>
      </c>
      <c r="H58" s="208">
        <v>4397</v>
      </c>
      <c r="I58" s="208">
        <v>8951</v>
      </c>
      <c r="J58" s="208">
        <v>10846</v>
      </c>
      <c r="K58" s="208">
        <v>13133</v>
      </c>
      <c r="L58" s="208">
        <v>13181</v>
      </c>
      <c r="M58" s="208">
        <v>36215</v>
      </c>
      <c r="N58" s="208">
        <v>34229</v>
      </c>
      <c r="O58" s="208">
        <v>35833</v>
      </c>
      <c r="P58" s="208">
        <v>36069</v>
      </c>
      <c r="Q58" s="208">
        <v>33041</v>
      </c>
      <c r="R58" s="208">
        <v>26162</v>
      </c>
      <c r="S58" s="208">
        <v>13668</v>
      </c>
      <c r="T58" s="208">
        <v>13683</v>
      </c>
      <c r="U58" s="208">
        <v>1337705</v>
      </c>
      <c r="V58" s="208">
        <v>1346423</v>
      </c>
      <c r="W58" s="208">
        <v>1343947</v>
      </c>
      <c r="X58" s="208">
        <v>1397917</v>
      </c>
      <c r="Y58" s="208">
        <v>17898</v>
      </c>
      <c r="Z58" s="208">
        <v>18258</v>
      </c>
      <c r="AA58" s="208">
        <v>13283</v>
      </c>
      <c r="AB58" s="208">
        <v>10913</v>
      </c>
    </row>
    <row r="59" spans="1:28" x14ac:dyDescent="0.25">
      <c r="A59" s="183"/>
      <c r="B59" s="156">
        <f>3767763+B58</f>
        <v>3773583</v>
      </c>
      <c r="C59" s="156">
        <f>3768200+C58</f>
        <v>3773978</v>
      </c>
      <c r="D59" s="156">
        <f>4128486+D58</f>
        <v>4132691</v>
      </c>
      <c r="E59" s="156">
        <f>5028179+E58</f>
        <v>5032576</v>
      </c>
      <c r="F59" s="156">
        <f>4085042+F58</f>
        <v>4089439</v>
      </c>
      <c r="G59" s="156">
        <f>4438467+G58</f>
        <v>4442864</v>
      </c>
      <c r="H59" s="156">
        <f>3750341+H58</f>
        <v>3754738</v>
      </c>
      <c r="I59" s="156">
        <f>5101268+I58</f>
        <v>5110219</v>
      </c>
      <c r="J59" s="156">
        <f>5395360+J58</f>
        <v>5406206</v>
      </c>
      <c r="K59" s="156">
        <f>5105776+K58</f>
        <v>5118909</v>
      </c>
      <c r="L59" s="156">
        <f>5390527+L58</f>
        <v>5403708</v>
      </c>
      <c r="M59" s="156">
        <f>5766232+M58</f>
        <v>5802447</v>
      </c>
      <c r="N59" s="156">
        <f>5064557+N58</f>
        <v>5098786</v>
      </c>
      <c r="O59" s="277">
        <f>4720751+O58</f>
        <v>4756584</v>
      </c>
      <c r="P59" s="277">
        <f>4793258+P58</f>
        <v>4829327</v>
      </c>
      <c r="Q59" s="277">
        <f>4755521+Q58</f>
        <v>4788562</v>
      </c>
      <c r="R59" s="277">
        <f>4165321+R58</f>
        <v>4191483</v>
      </c>
      <c r="S59" s="277">
        <f>3609555+S58</f>
        <v>3623223</v>
      </c>
      <c r="T59" s="277">
        <f>3841613+T58</f>
        <v>3855296</v>
      </c>
      <c r="U59" s="277">
        <v>6396444</v>
      </c>
      <c r="V59" s="277">
        <v>5973087</v>
      </c>
      <c r="W59" s="277">
        <v>5630595</v>
      </c>
      <c r="X59" s="277">
        <v>5783980</v>
      </c>
      <c r="Y59" s="277">
        <v>3947248</v>
      </c>
      <c r="Z59" s="277">
        <v>4043539</v>
      </c>
      <c r="AA59" s="277">
        <v>3757700</v>
      </c>
      <c r="AB59" s="277">
        <v>3427219</v>
      </c>
    </row>
    <row r="60" spans="1:28" x14ac:dyDescent="0.25">
      <c r="A60" s="183"/>
      <c r="B60" s="156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254"/>
      <c r="P60" s="254"/>
      <c r="Q60" s="254"/>
      <c r="R60" s="254"/>
      <c r="S60" s="254"/>
      <c r="T60" s="254"/>
      <c r="U60" s="254"/>
      <c r="V60" s="254"/>
      <c r="W60" s="254"/>
      <c r="X60" s="254"/>
      <c r="Y60" s="254"/>
      <c r="Z60" s="254"/>
      <c r="AA60" s="254"/>
    </row>
    <row r="61" spans="1:28" x14ac:dyDescent="0.25">
      <c r="A61" s="147" t="s">
        <v>252</v>
      </c>
      <c r="B61" s="278">
        <v>21807983</v>
      </c>
      <c r="C61" s="278">
        <v>22016702</v>
      </c>
      <c r="D61" s="278">
        <v>22515176</v>
      </c>
      <c r="E61" s="278">
        <v>23426963</v>
      </c>
      <c r="F61" s="278">
        <v>22789982</v>
      </c>
      <c r="G61" s="278">
        <v>23404475</v>
      </c>
      <c r="H61" s="278">
        <v>23461511</v>
      </c>
      <c r="I61" s="278">
        <v>28526996</v>
      </c>
      <c r="J61" s="278">
        <v>28852487</v>
      </c>
      <c r="K61" s="278">
        <v>28968106</v>
      </c>
      <c r="L61" s="278">
        <v>29676658</v>
      </c>
      <c r="M61" s="278">
        <v>31273677</v>
      </c>
      <c r="N61" s="278">
        <v>30749673</v>
      </c>
      <c r="O61" s="278">
        <v>30689681</v>
      </c>
      <c r="P61" s="278">
        <v>31425277</v>
      </c>
      <c r="Q61" s="278">
        <v>32355570</v>
      </c>
      <c r="R61" s="278">
        <v>31670077</v>
      </c>
      <c r="S61" s="278">
        <v>31577237</v>
      </c>
      <c r="T61" s="278">
        <v>32137089</v>
      </c>
      <c r="U61" s="278">
        <v>34559193</v>
      </c>
      <c r="V61" s="278">
        <v>34172992</v>
      </c>
      <c r="W61" s="278">
        <v>34322074</v>
      </c>
      <c r="X61" s="278">
        <v>34949928</v>
      </c>
      <c r="Y61" s="278">
        <v>32071433</v>
      </c>
      <c r="Z61" s="278">
        <v>32250551</v>
      </c>
      <c r="AA61" s="278">
        <v>31661822</v>
      </c>
      <c r="AB61" s="278">
        <v>31913686</v>
      </c>
    </row>
    <row r="62" spans="1:28" x14ac:dyDescent="0.25">
      <c r="A62" s="183"/>
      <c r="B62" s="156"/>
      <c r="C62" s="156"/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279"/>
      <c r="R62" s="279"/>
      <c r="S62" s="279"/>
      <c r="T62" s="279"/>
      <c r="U62" s="280"/>
      <c r="V62" s="280"/>
      <c r="W62" s="280"/>
      <c r="X62" s="280"/>
      <c r="Y62" s="280"/>
      <c r="Z62" s="280"/>
      <c r="AA62" s="280"/>
      <c r="AB62" s="280"/>
    </row>
    <row r="63" spans="1:28" x14ac:dyDescent="0.25">
      <c r="A63" s="257" t="s">
        <v>253</v>
      </c>
      <c r="B63" s="185"/>
      <c r="C63" s="185"/>
      <c r="D63" s="185"/>
      <c r="E63" s="185"/>
      <c r="F63" s="185"/>
      <c r="G63" s="185"/>
      <c r="H63" s="185"/>
      <c r="I63" s="185"/>
      <c r="J63" s="185"/>
      <c r="K63" s="185"/>
      <c r="L63" s="185"/>
      <c r="M63" s="185"/>
      <c r="N63" s="185"/>
      <c r="O63" s="185"/>
      <c r="P63" s="185"/>
      <c r="T63" s="242"/>
    </row>
    <row r="64" spans="1:28" x14ac:dyDescent="0.25">
      <c r="A64" s="186" t="s">
        <v>254</v>
      </c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T64" s="242"/>
    </row>
    <row r="65" spans="1:28" x14ac:dyDescent="0.25">
      <c r="A65" s="186" t="s">
        <v>255</v>
      </c>
      <c r="B65" s="244">
        <v>13986284</v>
      </c>
      <c r="C65" s="244">
        <v>14304949</v>
      </c>
      <c r="D65" s="244">
        <v>14304949</v>
      </c>
      <c r="E65" s="244">
        <v>15772945</v>
      </c>
      <c r="F65" s="244">
        <v>8762747</v>
      </c>
      <c r="G65" s="244">
        <v>8762747</v>
      </c>
      <c r="H65" s="244">
        <v>8762747</v>
      </c>
      <c r="I65" s="244">
        <v>8762747</v>
      </c>
      <c r="J65" s="244">
        <v>8762747</v>
      </c>
      <c r="K65" s="244">
        <v>8762747</v>
      </c>
      <c r="L65" s="244">
        <v>8762747</v>
      </c>
      <c r="M65" s="244">
        <v>8762747</v>
      </c>
      <c r="N65" s="244">
        <v>8762747</v>
      </c>
      <c r="O65" s="244">
        <v>8762747</v>
      </c>
      <c r="P65" s="244">
        <v>8762747</v>
      </c>
      <c r="Q65" s="244">
        <v>8762747</v>
      </c>
      <c r="R65" s="244">
        <v>8762747</v>
      </c>
      <c r="S65" s="244">
        <v>8762747</v>
      </c>
      <c r="T65" s="244">
        <v>8762747</v>
      </c>
      <c r="U65" s="244">
        <v>8762747</v>
      </c>
      <c r="V65" s="244">
        <v>8762747</v>
      </c>
      <c r="W65" s="244">
        <v>8762747</v>
      </c>
      <c r="X65" s="244">
        <v>8762747</v>
      </c>
      <c r="Y65" s="244">
        <v>8762747</v>
      </c>
      <c r="Z65" s="244">
        <v>8762747</v>
      </c>
      <c r="AA65" s="244">
        <v>8762747</v>
      </c>
      <c r="AB65" s="244">
        <v>8762747</v>
      </c>
    </row>
    <row r="66" spans="1:28" x14ac:dyDescent="0.25">
      <c r="A66" s="186" t="s">
        <v>256</v>
      </c>
      <c r="B66" s="244">
        <v>240209</v>
      </c>
      <c r="C66" s="244">
        <v>240209</v>
      </c>
      <c r="D66" s="244">
        <v>240209</v>
      </c>
      <c r="E66" s="244">
        <v>475088</v>
      </c>
      <c r="F66" s="244">
        <v>7485286</v>
      </c>
      <c r="G66" s="244">
        <v>7412882</v>
      </c>
      <c r="H66" s="244">
        <v>7412882</v>
      </c>
      <c r="I66" s="244">
        <v>7412882</v>
      </c>
      <c r="J66" s="244">
        <v>7412882</v>
      </c>
      <c r="K66" s="244">
        <v>7953021</v>
      </c>
      <c r="L66" s="244">
        <v>7953021</v>
      </c>
      <c r="M66" s="244">
        <v>7953021</v>
      </c>
      <c r="N66" s="244">
        <v>7953021</v>
      </c>
      <c r="O66" s="244">
        <v>9037699</v>
      </c>
      <c r="P66" s="244">
        <v>9037699</v>
      </c>
      <c r="Q66" s="244">
        <v>9037699</v>
      </c>
      <c r="R66" s="244">
        <v>9037699</v>
      </c>
      <c r="S66" s="244">
        <v>10393686</v>
      </c>
      <c r="T66" s="244">
        <v>10393686</v>
      </c>
      <c r="U66" s="244">
        <v>10393686</v>
      </c>
      <c r="V66" s="244">
        <v>10393686</v>
      </c>
      <c r="W66" s="244">
        <v>11277247</v>
      </c>
      <c r="X66" s="244">
        <v>11277247</v>
      </c>
      <c r="Y66" s="244">
        <v>11277247</v>
      </c>
      <c r="Z66" s="244">
        <v>11277247</v>
      </c>
      <c r="AA66" s="244">
        <v>7823339</v>
      </c>
      <c r="AB66" s="244">
        <v>7823339</v>
      </c>
    </row>
    <row r="67" spans="1:28" x14ac:dyDescent="0.25">
      <c r="A67" s="186" t="s">
        <v>257</v>
      </c>
      <c r="B67" s="188">
        <v>-6238</v>
      </c>
      <c r="C67" s="188">
        <v>-6195</v>
      </c>
      <c r="D67" s="188">
        <v>-9153</v>
      </c>
      <c r="E67" s="273">
        <v>0</v>
      </c>
      <c r="F67" s="273">
        <v>0</v>
      </c>
      <c r="G67" s="273">
        <v>0</v>
      </c>
      <c r="H67" s="273">
        <v>0</v>
      </c>
      <c r="I67" s="273">
        <v>0</v>
      </c>
      <c r="J67" s="188">
        <v>-9586</v>
      </c>
      <c r="K67" s="188">
        <v>-32514</v>
      </c>
      <c r="L67" s="188">
        <v>-72384</v>
      </c>
      <c r="M67" s="188">
        <v>-153703</v>
      </c>
      <c r="N67" s="188">
        <v>-151005</v>
      </c>
      <c r="O67" s="188">
        <v>-123859</v>
      </c>
      <c r="P67" s="188">
        <v>-118166</v>
      </c>
      <c r="Q67" s="188">
        <v>-126651</v>
      </c>
      <c r="R67" s="188">
        <v>-120489</v>
      </c>
      <c r="S67" s="188">
        <v>-144845</v>
      </c>
      <c r="T67" s="188">
        <v>-157817</v>
      </c>
      <c r="U67" s="188">
        <v>-143019</v>
      </c>
      <c r="V67" s="188">
        <v>-130453</v>
      </c>
      <c r="W67" s="188">
        <v>-103630</v>
      </c>
      <c r="X67" s="188">
        <v>-92755</v>
      </c>
      <c r="Y67" s="188">
        <v>-73414</v>
      </c>
      <c r="Z67" s="188">
        <v>-53043</v>
      </c>
      <c r="AA67" s="188">
        <v>-33849</v>
      </c>
      <c r="AB67" s="188">
        <v>-5424</v>
      </c>
    </row>
    <row r="68" spans="1:28" x14ac:dyDescent="0.25">
      <c r="A68" s="186" t="s">
        <v>402</v>
      </c>
      <c r="B68" s="281">
        <v>0</v>
      </c>
      <c r="C68" s="281">
        <v>0</v>
      </c>
      <c r="D68" s="273">
        <v>0</v>
      </c>
      <c r="E68" s="273">
        <v>0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188">
        <v>9226</v>
      </c>
      <c r="L68" s="282">
        <v>0</v>
      </c>
      <c r="M68" s="282">
        <v>0</v>
      </c>
      <c r="N68" s="282">
        <v>0</v>
      </c>
      <c r="O68" s="282">
        <v>0</v>
      </c>
      <c r="P68" s="282">
        <v>0</v>
      </c>
      <c r="Q68" s="282">
        <v>0</v>
      </c>
      <c r="R68" s="282">
        <v>0</v>
      </c>
      <c r="S68" s="282">
        <v>0</v>
      </c>
      <c r="T68" s="282">
        <v>0</v>
      </c>
      <c r="U68" s="282">
        <v>0</v>
      </c>
      <c r="V68" s="282">
        <v>0</v>
      </c>
      <c r="W68" s="282">
        <v>0</v>
      </c>
      <c r="X68" s="282">
        <v>0</v>
      </c>
      <c r="Y68" s="282">
        <v>0</v>
      </c>
      <c r="Z68" s="282">
        <v>0</v>
      </c>
      <c r="AA68" s="282">
        <v>0</v>
      </c>
      <c r="AB68" s="282">
        <v>0</v>
      </c>
    </row>
    <row r="69" spans="1:28" x14ac:dyDescent="0.25">
      <c r="A69" s="186" t="s">
        <v>219</v>
      </c>
      <c r="B69" s="281">
        <v>0</v>
      </c>
      <c r="C69" s="281">
        <v>0</v>
      </c>
      <c r="D69" s="188">
        <v>-213</v>
      </c>
      <c r="E69" s="188">
        <v>-271</v>
      </c>
      <c r="F69" s="188">
        <v>-150</v>
      </c>
      <c r="G69" s="188">
        <v>-120</v>
      </c>
      <c r="H69" s="188">
        <v>498</v>
      </c>
      <c r="I69" s="188">
        <v>87</v>
      </c>
      <c r="J69" s="188">
        <v>-60</v>
      </c>
      <c r="K69" s="188">
        <v>-164</v>
      </c>
      <c r="L69" s="188">
        <v>-350</v>
      </c>
      <c r="M69" s="188">
        <v>-370</v>
      </c>
      <c r="N69" s="188">
        <v>-442</v>
      </c>
      <c r="O69" s="188">
        <v>-11</v>
      </c>
      <c r="P69" s="188">
        <v>-289</v>
      </c>
      <c r="Q69" s="188">
        <v>-1631</v>
      </c>
      <c r="R69" s="188">
        <v>-1553</v>
      </c>
      <c r="S69" s="188">
        <v>-1590</v>
      </c>
      <c r="T69" s="188">
        <v>-1572</v>
      </c>
      <c r="U69" s="188">
        <v>-1386</v>
      </c>
      <c r="V69" s="188">
        <v>-1894</v>
      </c>
      <c r="W69" s="188">
        <v>-1358</v>
      </c>
      <c r="X69" s="188">
        <v>-1099</v>
      </c>
      <c r="Y69" s="188">
        <v>-791</v>
      </c>
      <c r="Z69" s="188">
        <v>-795</v>
      </c>
      <c r="AA69" s="244">
        <v>9131</v>
      </c>
      <c r="AB69" s="244">
        <v>1752</v>
      </c>
    </row>
    <row r="70" spans="1:28" x14ac:dyDescent="0.25">
      <c r="A70" s="190" t="s">
        <v>403</v>
      </c>
      <c r="B70" s="254">
        <v>-2075344</v>
      </c>
      <c r="C70" s="254">
        <v>-2031013</v>
      </c>
      <c r="D70" s="254">
        <v>-1812843</v>
      </c>
      <c r="E70" s="254">
        <v>-1641605</v>
      </c>
      <c r="F70" s="254">
        <v>-1156121</v>
      </c>
      <c r="G70" s="254">
        <v>-1018094</v>
      </c>
      <c r="H70" s="254">
        <v>-716279</v>
      </c>
      <c r="I70" s="254">
        <f>'Hist. dane roczne'!D68</f>
        <v>-481414</v>
      </c>
      <c r="J70" s="254">
        <v>-111128</v>
      </c>
      <c r="K70" s="254">
        <v>-728008</v>
      </c>
      <c r="L70" s="254">
        <v>-306383</v>
      </c>
      <c r="M70" s="254">
        <v>-255014</v>
      </c>
      <c r="N70" s="254">
        <v>236127</v>
      </c>
      <c r="O70" s="254">
        <v>-909855</v>
      </c>
      <c r="P70" s="254">
        <v>-538065</v>
      </c>
      <c r="Q70" s="254">
        <v>-344999</v>
      </c>
      <c r="R70" s="254">
        <v>135928</v>
      </c>
      <c r="S70" s="254">
        <v>-1216944</v>
      </c>
      <c r="T70" s="254">
        <v>-890259</v>
      </c>
      <c r="U70" s="254">
        <v>-1045580</v>
      </c>
      <c r="V70" s="254">
        <v>-541413</v>
      </c>
      <c r="W70" s="254">
        <v>-1472252</v>
      </c>
      <c r="X70" s="254">
        <v>-1108646</v>
      </c>
      <c r="Y70" s="254">
        <v>-3947461</v>
      </c>
      <c r="Z70" s="254">
        <v>-3636418</v>
      </c>
      <c r="AA70" s="254">
        <v>-505261</v>
      </c>
      <c r="AB70" s="254">
        <v>-233429</v>
      </c>
    </row>
    <row r="71" spans="1:28" x14ac:dyDescent="0.25">
      <c r="A71" s="183"/>
      <c r="B71" s="156">
        <v>12144911</v>
      </c>
      <c r="C71" s="156">
        <v>12507950</v>
      </c>
      <c r="D71" s="156">
        <v>12722949</v>
      </c>
      <c r="E71" s="244">
        <v>14606157</v>
      </c>
      <c r="F71" s="244">
        <v>15091762</v>
      </c>
      <c r="G71" s="244">
        <v>15157415</v>
      </c>
      <c r="H71" s="244">
        <v>15459848</v>
      </c>
      <c r="I71" s="244">
        <f>'Hist. dane roczne'!D69</f>
        <v>15694302</v>
      </c>
      <c r="J71" s="244">
        <v>16054855</v>
      </c>
      <c r="K71" s="244">
        <v>15964308</v>
      </c>
      <c r="L71" s="244">
        <v>16336651</v>
      </c>
      <c r="M71" s="244">
        <v>16306681</v>
      </c>
      <c r="N71" s="244">
        <v>16800448</v>
      </c>
      <c r="O71" s="244">
        <v>16766721</v>
      </c>
      <c r="P71" s="244">
        <v>17143926</v>
      </c>
      <c r="Q71" s="244">
        <v>17327165</v>
      </c>
      <c r="R71" s="244">
        <v>17814332</v>
      </c>
      <c r="S71" s="244">
        <v>17793054</v>
      </c>
      <c r="T71" s="244">
        <v>18106785</v>
      </c>
      <c r="U71" s="244">
        <v>17966448</v>
      </c>
      <c r="V71" s="244">
        <v>18482673</v>
      </c>
      <c r="W71" s="244">
        <v>18462754</v>
      </c>
      <c r="X71" s="244">
        <v>18837494</v>
      </c>
      <c r="Y71" s="244">
        <v>16018328</v>
      </c>
      <c r="Z71" s="244">
        <v>16349738</v>
      </c>
      <c r="AA71" s="244">
        <v>16056107</v>
      </c>
      <c r="AB71" s="244">
        <v>16348985</v>
      </c>
    </row>
    <row r="72" spans="1:28" x14ac:dyDescent="0.25">
      <c r="A72" s="183"/>
      <c r="B72" s="156"/>
      <c r="C72" s="156"/>
      <c r="D72" s="156"/>
      <c r="E72" s="156"/>
      <c r="F72" s="156"/>
      <c r="G72" s="156"/>
      <c r="H72" s="156"/>
      <c r="I72" s="156"/>
      <c r="J72" s="156"/>
      <c r="K72" s="156"/>
      <c r="L72" s="156"/>
      <c r="M72" s="156"/>
      <c r="N72" s="156"/>
      <c r="O72" s="156"/>
      <c r="P72" s="156"/>
      <c r="Q72" s="156"/>
      <c r="R72" s="156"/>
      <c r="S72" s="156"/>
      <c r="T72" s="244"/>
      <c r="U72" s="244"/>
      <c r="V72" s="244"/>
      <c r="W72" s="244"/>
      <c r="X72" s="244"/>
      <c r="Y72" s="244"/>
      <c r="Z72" s="244"/>
      <c r="AA72" s="244"/>
      <c r="AB72" s="244"/>
    </row>
    <row r="73" spans="1:28" x14ac:dyDescent="0.25">
      <c r="A73" s="183" t="s">
        <v>259</v>
      </c>
      <c r="B73" s="156">
        <v>2441911</v>
      </c>
      <c r="C73" s="156">
        <v>2289945</v>
      </c>
      <c r="D73" s="156">
        <v>2321695</v>
      </c>
      <c r="E73" s="244">
        <v>496279</v>
      </c>
      <c r="F73" s="244">
        <v>485227</v>
      </c>
      <c r="G73" s="244">
        <v>479419</v>
      </c>
      <c r="H73" s="244">
        <v>462626</v>
      </c>
      <c r="I73" s="244">
        <f>'Hist. dane roczne'!D71</f>
        <v>455203</v>
      </c>
      <c r="J73" s="244">
        <v>474598</v>
      </c>
      <c r="K73" s="244">
        <v>474902</v>
      </c>
      <c r="L73" s="244">
        <v>502763</v>
      </c>
      <c r="M73" s="244">
        <v>493339</v>
      </c>
      <c r="N73" s="244">
        <v>515613</v>
      </c>
      <c r="O73" s="244">
        <v>526444</v>
      </c>
      <c r="P73" s="244">
        <v>531410</v>
      </c>
      <c r="Q73" s="244">
        <v>466334</v>
      </c>
      <c r="R73" s="244">
        <v>54808</v>
      </c>
      <c r="S73" s="244">
        <v>29574</v>
      </c>
      <c r="T73" s="244">
        <v>30306</v>
      </c>
      <c r="U73" s="244">
        <v>30116</v>
      </c>
      <c r="V73" s="244">
        <v>30662</v>
      </c>
      <c r="W73" s="244">
        <v>29040</v>
      </c>
      <c r="X73" s="244">
        <v>29207</v>
      </c>
      <c r="Y73" s="244">
        <v>29829</v>
      </c>
      <c r="Z73" s="244">
        <v>30344</v>
      </c>
      <c r="AA73" s="244">
        <v>28016</v>
      </c>
      <c r="AB73" s="244">
        <v>28534</v>
      </c>
    </row>
    <row r="74" spans="1:28" x14ac:dyDescent="0.25">
      <c r="A74" s="183"/>
      <c r="B74" s="156"/>
      <c r="C74" s="156"/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244"/>
      <c r="U74" s="244"/>
      <c r="V74" s="244"/>
      <c r="W74" s="244"/>
      <c r="X74" s="244"/>
      <c r="Y74" s="244"/>
      <c r="Z74" s="244"/>
      <c r="AA74" s="244"/>
      <c r="AB74" s="244"/>
    </row>
    <row r="75" spans="1:28" x14ac:dyDescent="0.25">
      <c r="A75" s="196" t="s">
        <v>260</v>
      </c>
      <c r="B75" s="279">
        <v>14586822</v>
      </c>
      <c r="C75" s="279">
        <v>14797895</v>
      </c>
      <c r="D75" s="279">
        <v>15044644</v>
      </c>
      <c r="E75" s="279">
        <v>15102436</v>
      </c>
      <c r="F75" s="279">
        <v>15576989</v>
      </c>
      <c r="G75" s="279">
        <v>15636834</v>
      </c>
      <c r="H75" s="279">
        <v>15922474</v>
      </c>
      <c r="I75" s="279">
        <f>'Hist. dane roczne'!D73</f>
        <v>16149505</v>
      </c>
      <c r="J75" s="279">
        <v>16529453</v>
      </c>
      <c r="K75" s="279">
        <v>16439210</v>
      </c>
      <c r="L75" s="279">
        <v>16839414</v>
      </c>
      <c r="M75" s="279">
        <v>16800020</v>
      </c>
      <c r="N75" s="279">
        <v>17316061</v>
      </c>
      <c r="O75" s="279">
        <v>17293165</v>
      </c>
      <c r="P75" s="279">
        <v>17675336</v>
      </c>
      <c r="Q75" s="279">
        <v>17793499</v>
      </c>
      <c r="R75" s="279">
        <v>17869140</v>
      </c>
      <c r="S75" s="279">
        <v>17822628</v>
      </c>
      <c r="T75" s="279">
        <v>18137091</v>
      </c>
      <c r="U75" s="279">
        <v>17996564</v>
      </c>
      <c r="V75" s="279">
        <v>18513335</v>
      </c>
      <c r="W75" s="279">
        <v>18491794</v>
      </c>
      <c r="X75" s="279">
        <v>18866701</v>
      </c>
      <c r="Y75" s="279">
        <v>16048157</v>
      </c>
      <c r="Z75" s="279">
        <v>16380082</v>
      </c>
      <c r="AA75" s="279">
        <v>16084123</v>
      </c>
      <c r="AB75" s="279">
        <v>16377519</v>
      </c>
    </row>
    <row r="76" spans="1:28" x14ac:dyDescent="0.25">
      <c r="A76" s="183"/>
      <c r="B76" s="156"/>
      <c r="C76" s="156"/>
      <c r="D76" s="156"/>
      <c r="E76" s="156"/>
      <c r="F76" s="156"/>
      <c r="G76" s="156"/>
      <c r="H76" s="156"/>
      <c r="I76" s="156"/>
      <c r="J76" s="156"/>
      <c r="K76" s="156"/>
      <c r="L76" s="156"/>
      <c r="M76" s="156"/>
      <c r="N76" s="156"/>
      <c r="O76" s="156"/>
      <c r="P76" s="156"/>
      <c r="Q76" s="279"/>
      <c r="R76" s="279"/>
      <c r="S76" s="279"/>
      <c r="T76" s="279"/>
      <c r="U76" s="280"/>
      <c r="V76" s="280"/>
      <c r="W76" s="280"/>
      <c r="X76" s="280"/>
      <c r="Y76" s="280"/>
      <c r="Z76" s="280"/>
      <c r="AA76" s="280"/>
      <c r="AB76" s="280"/>
    </row>
    <row r="77" spans="1:28" x14ac:dyDescent="0.25">
      <c r="A77" s="257" t="s">
        <v>261</v>
      </c>
      <c r="B77" s="185"/>
      <c r="C77" s="185"/>
      <c r="D77" s="185"/>
      <c r="E77" s="185"/>
      <c r="F77" s="185"/>
      <c r="G77" s="185"/>
      <c r="H77" s="185"/>
      <c r="I77" s="185"/>
      <c r="J77" s="185"/>
      <c r="K77" s="185"/>
      <c r="L77" s="185"/>
      <c r="M77" s="185"/>
      <c r="N77" s="185"/>
      <c r="O77" s="185"/>
      <c r="P77" s="185"/>
      <c r="S77" s="245"/>
      <c r="T77" s="242"/>
    </row>
    <row r="78" spans="1:28" x14ac:dyDescent="0.25">
      <c r="A78" s="186" t="s">
        <v>404</v>
      </c>
      <c r="B78" s="244">
        <v>1146545</v>
      </c>
      <c r="C78" s="244">
        <v>989098</v>
      </c>
      <c r="D78" s="244">
        <v>917202</v>
      </c>
      <c r="E78" s="244">
        <v>1076178</v>
      </c>
      <c r="F78" s="244">
        <v>1104014</v>
      </c>
      <c r="G78" s="244">
        <v>1045564</v>
      </c>
      <c r="H78" s="244">
        <v>1036475</v>
      </c>
      <c r="I78" s="244">
        <v>4251944</v>
      </c>
      <c r="J78" s="244">
        <v>4867857</v>
      </c>
      <c r="K78" s="244">
        <v>4883367</v>
      </c>
      <c r="L78" s="244">
        <v>5324024</v>
      </c>
      <c r="M78" s="244">
        <v>5222882</v>
      </c>
      <c r="N78" s="244">
        <v>5643271</v>
      </c>
      <c r="O78" s="244">
        <v>5606826</v>
      </c>
      <c r="P78" s="244">
        <v>5577394</v>
      </c>
      <c r="Q78" s="244">
        <v>5500532</v>
      </c>
      <c r="R78" s="244">
        <v>5827367</v>
      </c>
      <c r="S78" s="244">
        <v>6005603</v>
      </c>
      <c r="T78" s="244">
        <v>6183835</v>
      </c>
      <c r="U78" s="244">
        <v>7422332</v>
      </c>
      <c r="V78" s="244">
        <v>7371792</v>
      </c>
      <c r="W78" s="244">
        <v>7367670</v>
      </c>
      <c r="X78" s="244">
        <v>7648162</v>
      </c>
      <c r="Y78" s="244">
        <v>4890404</v>
      </c>
      <c r="Z78" s="244">
        <v>7722218</v>
      </c>
      <c r="AA78" s="244">
        <v>7727666</v>
      </c>
      <c r="AB78" s="244">
        <v>7373149</v>
      </c>
    </row>
    <row r="79" spans="1:28" x14ac:dyDescent="0.25">
      <c r="A79" s="186" t="s">
        <v>405</v>
      </c>
      <c r="B79" s="244">
        <v>78608</v>
      </c>
      <c r="C79" s="244">
        <v>75115</v>
      </c>
      <c r="D79" s="244">
        <v>71115</v>
      </c>
      <c r="E79" s="244">
        <v>67810</v>
      </c>
      <c r="F79" s="244">
        <v>64167</v>
      </c>
      <c r="G79" s="244">
        <v>61246</v>
      </c>
      <c r="H79" s="244">
        <v>59665</v>
      </c>
      <c r="I79" s="244">
        <v>56232</v>
      </c>
      <c r="J79" s="244">
        <v>51418</v>
      </c>
      <c r="K79" s="244">
        <v>48780</v>
      </c>
      <c r="L79" s="244">
        <v>46004</v>
      </c>
      <c r="M79" s="244">
        <v>41796</v>
      </c>
      <c r="N79" s="244">
        <v>37023</v>
      </c>
      <c r="O79" s="244">
        <v>34874</v>
      </c>
      <c r="P79" s="244">
        <v>33444</v>
      </c>
      <c r="Q79" s="244">
        <v>61643</v>
      </c>
      <c r="R79" s="244">
        <v>56025</v>
      </c>
      <c r="S79" s="244">
        <v>52858</v>
      </c>
      <c r="T79" s="244">
        <v>50388</v>
      </c>
      <c r="U79" s="244">
        <v>46443</v>
      </c>
      <c r="V79" s="244">
        <v>41961</v>
      </c>
      <c r="W79" s="244">
        <v>39652</v>
      </c>
      <c r="X79" s="244">
        <v>37430</v>
      </c>
      <c r="Y79" s="244">
        <v>33723</v>
      </c>
      <c r="Z79" s="244">
        <v>29300</v>
      </c>
      <c r="AA79" s="244">
        <v>26661</v>
      </c>
      <c r="AB79" s="244">
        <v>24449</v>
      </c>
    </row>
    <row r="80" spans="1:28" x14ac:dyDescent="0.25">
      <c r="A80" s="186" t="s">
        <v>406</v>
      </c>
      <c r="B80" s="244">
        <v>8579</v>
      </c>
      <c r="C80" s="244">
        <v>8041</v>
      </c>
      <c r="D80" s="244">
        <v>10689</v>
      </c>
      <c r="E80" s="244">
        <v>6910</v>
      </c>
      <c r="F80" s="244">
        <v>8709</v>
      </c>
      <c r="G80" s="244">
        <v>6213</v>
      </c>
      <c r="H80" s="244">
        <v>7111</v>
      </c>
      <c r="I80" s="244">
        <v>7968</v>
      </c>
      <c r="J80" s="244">
        <v>6533</v>
      </c>
      <c r="K80" s="244">
        <v>7197</v>
      </c>
      <c r="L80" s="244">
        <v>6390</v>
      </c>
      <c r="M80" s="244">
        <v>7890</v>
      </c>
      <c r="N80" s="244">
        <v>8089</v>
      </c>
      <c r="O80" s="244">
        <v>9180</v>
      </c>
      <c r="P80" s="244">
        <v>8241</v>
      </c>
      <c r="Q80" s="244">
        <v>7827</v>
      </c>
      <c r="R80" s="244">
        <v>7299</v>
      </c>
      <c r="S80" s="244">
        <v>46841</v>
      </c>
      <c r="T80" s="244">
        <v>52338</v>
      </c>
      <c r="U80" s="244">
        <v>48986</v>
      </c>
      <c r="V80" s="244">
        <v>53148</v>
      </c>
      <c r="W80" s="244">
        <v>64058</v>
      </c>
      <c r="X80" s="244">
        <v>82828</v>
      </c>
      <c r="Y80" s="244">
        <v>86549</v>
      </c>
      <c r="Z80" s="244">
        <v>48290</v>
      </c>
      <c r="AA80" s="244">
        <v>47775</v>
      </c>
      <c r="AB80" s="244">
        <v>49341</v>
      </c>
    </row>
    <row r="81" spans="1:28" x14ac:dyDescent="0.25">
      <c r="A81" s="186" t="s">
        <v>407</v>
      </c>
      <c r="B81" s="275" t="s">
        <v>408</v>
      </c>
      <c r="C81" s="275" t="s">
        <v>408</v>
      </c>
      <c r="D81" s="275" t="s">
        <v>408</v>
      </c>
      <c r="E81" s="281">
        <v>0</v>
      </c>
      <c r="F81" s="275" t="s">
        <v>408</v>
      </c>
      <c r="G81" s="275" t="s">
        <v>408</v>
      </c>
      <c r="H81" s="275" t="s">
        <v>408</v>
      </c>
      <c r="I81" s="281">
        <v>0</v>
      </c>
      <c r="J81" s="275" t="s">
        <v>408</v>
      </c>
      <c r="K81" s="275" t="s">
        <v>408</v>
      </c>
      <c r="L81" s="275" t="s">
        <v>408</v>
      </c>
      <c r="M81" s="244">
        <v>150594</v>
      </c>
      <c r="N81" s="244">
        <v>154956</v>
      </c>
      <c r="O81" s="244">
        <v>83862</v>
      </c>
      <c r="P81" s="244">
        <v>93540</v>
      </c>
      <c r="Q81" s="244">
        <v>87573</v>
      </c>
      <c r="R81" s="244">
        <v>96139</v>
      </c>
      <c r="S81" s="244">
        <v>103198</v>
      </c>
      <c r="T81" s="244">
        <v>132773</v>
      </c>
      <c r="U81" s="244">
        <v>93501</v>
      </c>
      <c r="V81" s="244">
        <v>95096</v>
      </c>
      <c r="W81" s="244">
        <v>93800</v>
      </c>
      <c r="X81" s="244">
        <v>54838</v>
      </c>
      <c r="Y81" s="244">
        <v>15156</v>
      </c>
      <c r="Z81" s="244">
        <v>6</v>
      </c>
      <c r="AA81" s="244">
        <v>12</v>
      </c>
      <c r="AB81" s="244">
        <v>47</v>
      </c>
    </row>
    <row r="82" spans="1:28" x14ac:dyDescent="0.25">
      <c r="A82" s="186" t="s">
        <v>263</v>
      </c>
      <c r="B82" s="347" t="s">
        <v>409</v>
      </c>
      <c r="C82" s="347" t="s">
        <v>410</v>
      </c>
      <c r="D82" s="347" t="s">
        <v>411</v>
      </c>
      <c r="E82" s="244">
        <v>1158941</v>
      </c>
      <c r="F82" s="347" t="s">
        <v>412</v>
      </c>
      <c r="G82" s="347" t="s">
        <v>413</v>
      </c>
      <c r="H82" s="347" t="s">
        <v>414</v>
      </c>
      <c r="I82" s="188">
        <v>1203375</v>
      </c>
      <c r="J82" s="347" t="s">
        <v>415</v>
      </c>
      <c r="K82" s="347" t="s">
        <v>416</v>
      </c>
      <c r="L82" s="347" t="s">
        <v>417</v>
      </c>
      <c r="M82" s="244">
        <v>1568219</v>
      </c>
      <c r="N82" s="244">
        <v>1555705</v>
      </c>
      <c r="O82" s="244">
        <v>1543852</v>
      </c>
      <c r="P82" s="244">
        <v>1545749</v>
      </c>
      <c r="Q82" s="244">
        <v>1497814</v>
      </c>
      <c r="R82" s="244">
        <v>1491859</v>
      </c>
      <c r="S82" s="244">
        <v>1494542</v>
      </c>
      <c r="T82" s="244">
        <v>1497375</v>
      </c>
      <c r="U82" s="244">
        <v>1948323</v>
      </c>
      <c r="V82" s="244">
        <v>1952636</v>
      </c>
      <c r="W82" s="244">
        <v>1940365</v>
      </c>
      <c r="X82" s="244">
        <v>1837619</v>
      </c>
      <c r="Y82" s="244">
        <v>1735206</v>
      </c>
      <c r="Z82" s="244">
        <v>1771941</v>
      </c>
      <c r="AA82" s="244">
        <v>1767471</v>
      </c>
      <c r="AB82" s="244">
        <v>1779311</v>
      </c>
    </row>
    <row r="83" spans="1:28" x14ac:dyDescent="0.25">
      <c r="A83" s="186" t="s">
        <v>418</v>
      </c>
      <c r="B83" s="348"/>
      <c r="C83" s="348">
        <v>33607</v>
      </c>
      <c r="D83" s="348"/>
      <c r="E83" s="244">
        <v>30861</v>
      </c>
      <c r="F83" s="348">
        <v>1079754</v>
      </c>
      <c r="G83" s="348"/>
      <c r="H83" s="348">
        <v>1105630</v>
      </c>
      <c r="I83" s="188">
        <v>61200</v>
      </c>
      <c r="J83" s="348">
        <v>1215105</v>
      </c>
      <c r="K83" s="348"/>
      <c r="L83" s="348">
        <v>1199581</v>
      </c>
      <c r="M83" s="244">
        <v>82523</v>
      </c>
      <c r="N83" s="244">
        <v>83534</v>
      </c>
      <c r="O83" s="244">
        <v>84558</v>
      </c>
      <c r="P83" s="244">
        <v>85612</v>
      </c>
      <c r="Q83" s="244">
        <v>141408</v>
      </c>
      <c r="R83" s="244">
        <v>142931</v>
      </c>
      <c r="S83" s="244">
        <v>140542</v>
      </c>
      <c r="T83" s="244">
        <v>142200</v>
      </c>
      <c r="U83" s="244">
        <v>165278</v>
      </c>
      <c r="V83" s="244">
        <v>166363</v>
      </c>
      <c r="W83" s="244">
        <v>166795</v>
      </c>
      <c r="X83" s="244">
        <v>167772</v>
      </c>
      <c r="Y83" s="244">
        <v>377372</v>
      </c>
      <c r="Z83" s="244">
        <v>440582</v>
      </c>
      <c r="AA83" s="244">
        <v>442561</v>
      </c>
      <c r="AB83" s="244">
        <v>442299</v>
      </c>
    </row>
    <row r="84" spans="1:28" x14ac:dyDescent="0.25">
      <c r="A84" s="186" t="s">
        <v>265</v>
      </c>
      <c r="B84" s="188">
        <v>618675</v>
      </c>
      <c r="C84" s="188">
        <v>610845</v>
      </c>
      <c r="D84" s="188">
        <v>606469</v>
      </c>
      <c r="E84" s="244">
        <v>644522</v>
      </c>
      <c r="F84" s="244">
        <v>642121</v>
      </c>
      <c r="G84" s="244">
        <v>637279</v>
      </c>
      <c r="H84" s="244">
        <v>628452</v>
      </c>
      <c r="I84" s="244">
        <f>'Hist. dane roczne'!D82</f>
        <v>569562</v>
      </c>
      <c r="J84" s="244">
        <v>636800</v>
      </c>
      <c r="K84" s="244">
        <v>630731</v>
      </c>
      <c r="L84" s="244">
        <v>633024</v>
      </c>
      <c r="M84" s="244">
        <v>639643</v>
      </c>
      <c r="N84" s="244">
        <v>715776</v>
      </c>
      <c r="O84" s="244">
        <v>729055</v>
      </c>
      <c r="P84" s="244">
        <v>750612</v>
      </c>
      <c r="Q84" s="244">
        <v>668487</v>
      </c>
      <c r="R84" s="244">
        <v>677044</v>
      </c>
      <c r="S84" s="244">
        <v>680537</v>
      </c>
      <c r="T84" s="244">
        <v>670383</v>
      </c>
      <c r="U84" s="244">
        <v>662072</v>
      </c>
      <c r="V84" s="244">
        <v>648602</v>
      </c>
      <c r="W84" s="244">
        <v>643584</v>
      </c>
      <c r="X84" s="244">
        <v>634492</v>
      </c>
      <c r="Y84" s="244">
        <v>650364</v>
      </c>
      <c r="Z84" s="244">
        <v>640413</v>
      </c>
      <c r="AA84" s="244">
        <v>642503</v>
      </c>
      <c r="AB84" s="244">
        <v>628699</v>
      </c>
    </row>
    <row r="85" spans="1:28" x14ac:dyDescent="0.25">
      <c r="A85" s="202" t="s">
        <v>419</v>
      </c>
      <c r="B85" s="208">
        <v>1175970</v>
      </c>
      <c r="C85" s="208">
        <v>1183700</v>
      </c>
      <c r="D85" s="208">
        <v>1203448</v>
      </c>
      <c r="E85" s="248">
        <v>1191155</v>
      </c>
      <c r="F85" s="248">
        <v>1253651</v>
      </c>
      <c r="G85" s="248">
        <v>1280221</v>
      </c>
      <c r="H85" s="248">
        <v>1308401</v>
      </c>
      <c r="I85" s="248">
        <f>'Hist. dane roczne'!D83</f>
        <v>1388424</v>
      </c>
      <c r="J85" s="248">
        <v>1309864</v>
      </c>
      <c r="K85" s="248">
        <v>1425554</v>
      </c>
      <c r="L85" s="248">
        <v>1395654</v>
      </c>
      <c r="M85" s="248">
        <v>1367687</v>
      </c>
      <c r="N85" s="248">
        <v>1470076</v>
      </c>
      <c r="O85" s="248">
        <v>1380064</v>
      </c>
      <c r="P85" s="248">
        <v>1348450</v>
      </c>
      <c r="Q85" s="248">
        <v>1339057</v>
      </c>
      <c r="R85" s="248">
        <v>1483655</v>
      </c>
      <c r="S85" s="248">
        <v>1451536</v>
      </c>
      <c r="T85" s="248">
        <v>1411304</v>
      </c>
      <c r="U85" s="248">
        <v>1357157</v>
      </c>
      <c r="V85" s="248">
        <v>1326607</v>
      </c>
      <c r="W85" s="248">
        <v>1461528</v>
      </c>
      <c r="X85" s="248">
        <v>1472722</v>
      </c>
      <c r="Y85" s="248">
        <v>795176</v>
      </c>
      <c r="Z85" s="248">
        <v>863524</v>
      </c>
      <c r="AA85" s="248">
        <v>732661</v>
      </c>
      <c r="AB85" s="248">
        <v>692020</v>
      </c>
    </row>
    <row r="86" spans="1:28" x14ac:dyDescent="0.25">
      <c r="A86" s="274"/>
      <c r="B86" s="188">
        <v>4019196</v>
      </c>
      <c r="C86" s="188">
        <v>3860387</v>
      </c>
      <c r="D86" s="188">
        <v>3817562</v>
      </c>
      <c r="E86" s="188">
        <v>4176377</v>
      </c>
      <c r="F86" s="188">
        <v>4152416</v>
      </c>
      <c r="G86" s="188">
        <v>4115836</v>
      </c>
      <c r="H86" s="188">
        <v>4145734</v>
      </c>
      <c r="I86" s="188">
        <f>'Hist. dane roczne'!D84</f>
        <v>7538705</v>
      </c>
      <c r="J86" s="188">
        <v>8087577</v>
      </c>
      <c r="K86" s="188">
        <v>8189894</v>
      </c>
      <c r="L86" s="188">
        <v>8604677</v>
      </c>
      <c r="M86" s="188">
        <v>9081234</v>
      </c>
      <c r="N86" s="188">
        <v>9668430</v>
      </c>
      <c r="O86" s="188">
        <v>9472271</v>
      </c>
      <c r="P86" s="188">
        <v>9443042</v>
      </c>
      <c r="Q86" s="188">
        <v>9304341</v>
      </c>
      <c r="R86" s="188">
        <v>9782319</v>
      </c>
      <c r="S86" s="188">
        <v>9975657</v>
      </c>
      <c r="T86" s="188">
        <v>10140596</v>
      </c>
      <c r="U86" s="188">
        <v>11744092</v>
      </c>
      <c r="V86" s="188">
        <v>11656205</v>
      </c>
      <c r="W86" s="188">
        <v>11777452</v>
      </c>
      <c r="X86" s="188">
        <v>11935863</v>
      </c>
      <c r="Y86" s="188">
        <f>SUM(Y78:Y85)</f>
        <v>8583950</v>
      </c>
      <c r="Z86" s="188">
        <v>11516274</v>
      </c>
      <c r="AA86" s="188">
        <v>11387310</v>
      </c>
      <c r="AB86" s="188">
        <v>10989315</v>
      </c>
    </row>
    <row r="87" spans="1:28" x14ac:dyDescent="0.25">
      <c r="A87" s="186" t="s">
        <v>268</v>
      </c>
      <c r="B87" s="188"/>
      <c r="C87" s="188"/>
      <c r="D87" s="188"/>
      <c r="E87" s="188"/>
      <c r="F87" s="188"/>
      <c r="G87" s="188"/>
      <c r="H87" s="188"/>
      <c r="I87" s="188"/>
      <c r="J87" s="188"/>
      <c r="K87" s="188"/>
      <c r="L87" s="188"/>
      <c r="M87" s="188"/>
      <c r="N87" s="188"/>
      <c r="O87" s="188"/>
      <c r="P87" s="188"/>
      <c r="Q87" s="188"/>
      <c r="T87" s="244"/>
    </row>
    <row r="88" spans="1:28" x14ac:dyDescent="0.25">
      <c r="A88" s="186" t="s">
        <v>420</v>
      </c>
      <c r="B88" s="188">
        <v>583460</v>
      </c>
      <c r="C88" s="188">
        <v>534404</v>
      </c>
      <c r="D88" s="188">
        <v>502486</v>
      </c>
      <c r="E88" s="188">
        <v>325027</v>
      </c>
      <c r="F88" s="188">
        <v>215307</v>
      </c>
      <c r="G88" s="188">
        <v>195849</v>
      </c>
      <c r="H88" s="188">
        <v>207480</v>
      </c>
      <c r="I88" s="188">
        <v>214169</v>
      </c>
      <c r="J88" s="188">
        <v>330178</v>
      </c>
      <c r="K88" s="188">
        <v>197340</v>
      </c>
      <c r="L88" s="188">
        <v>254165</v>
      </c>
      <c r="M88" s="188">
        <v>286990</v>
      </c>
      <c r="N88" s="188">
        <v>426987</v>
      </c>
      <c r="O88" s="188">
        <v>286568</v>
      </c>
      <c r="P88" s="188">
        <v>272154</v>
      </c>
      <c r="Q88" s="188">
        <v>284633</v>
      </c>
      <c r="R88" s="188">
        <v>613883</v>
      </c>
      <c r="S88" s="188">
        <v>338249</v>
      </c>
      <c r="T88" s="188">
        <v>380334</v>
      </c>
      <c r="U88" s="188">
        <v>631530</v>
      </c>
      <c r="V88" s="244">
        <v>636493</v>
      </c>
      <c r="W88" s="244">
        <v>513116</v>
      </c>
      <c r="X88" s="244">
        <v>564548</v>
      </c>
      <c r="Y88" s="244">
        <v>3201805</v>
      </c>
      <c r="Z88" s="244">
        <v>1089967</v>
      </c>
      <c r="AA88" s="244">
        <v>1055557</v>
      </c>
      <c r="AB88" s="244">
        <v>1118289</v>
      </c>
    </row>
    <row r="89" spans="1:28" x14ac:dyDescent="0.25">
      <c r="A89" s="186" t="s">
        <v>421</v>
      </c>
      <c r="B89" s="188">
        <v>34854</v>
      </c>
      <c r="C89" s="188">
        <v>31777</v>
      </c>
      <c r="D89" s="188">
        <v>27281</v>
      </c>
      <c r="E89" s="188">
        <v>23452</v>
      </c>
      <c r="F89" s="188">
        <v>19835</v>
      </c>
      <c r="G89" s="188">
        <v>17786</v>
      </c>
      <c r="H89" s="188">
        <v>17173</v>
      </c>
      <c r="I89" s="188">
        <v>14761</v>
      </c>
      <c r="J89" s="188">
        <v>14668</v>
      </c>
      <c r="K89" s="188">
        <v>14701</v>
      </c>
      <c r="L89" s="188">
        <v>14514</v>
      </c>
      <c r="M89" s="188">
        <v>14482</v>
      </c>
      <c r="N89" s="188">
        <v>14491</v>
      </c>
      <c r="O89" s="188">
        <v>14662</v>
      </c>
      <c r="P89" s="188">
        <v>14108</v>
      </c>
      <c r="Q89" s="188">
        <v>17327</v>
      </c>
      <c r="R89" s="188">
        <v>17535</v>
      </c>
      <c r="S89" s="188">
        <v>17171</v>
      </c>
      <c r="T89" s="188">
        <v>15961</v>
      </c>
      <c r="U89" s="188">
        <v>13461</v>
      </c>
      <c r="V89" s="244">
        <v>13300</v>
      </c>
      <c r="W89" s="244">
        <v>13114</v>
      </c>
      <c r="X89" s="244">
        <v>12953</v>
      </c>
      <c r="Y89" s="244">
        <v>12715</v>
      </c>
      <c r="Z89" s="244">
        <v>15527</v>
      </c>
      <c r="AA89" s="244">
        <v>15163</v>
      </c>
      <c r="AB89" s="244">
        <v>14726</v>
      </c>
    </row>
    <row r="90" spans="1:28" x14ac:dyDescent="0.25">
      <c r="A90" s="186" t="s">
        <v>422</v>
      </c>
      <c r="B90" s="188">
        <v>1114809</v>
      </c>
      <c r="C90" s="188">
        <v>1127523</v>
      </c>
      <c r="D90" s="188">
        <v>1198537</v>
      </c>
      <c r="E90" s="188">
        <v>1622806</v>
      </c>
      <c r="F90" s="188">
        <v>1087509</v>
      </c>
      <c r="G90" s="188">
        <f>1479627+165</f>
        <v>1479792</v>
      </c>
      <c r="H90" s="188">
        <v>1203576</v>
      </c>
      <c r="I90" s="188">
        <v>2349121</v>
      </c>
      <c r="J90" s="188">
        <v>1663080</v>
      </c>
      <c r="K90" s="188">
        <v>2131516</v>
      </c>
      <c r="L90" s="188">
        <v>1835196</v>
      </c>
      <c r="M90" s="188">
        <v>2628449</v>
      </c>
      <c r="N90" s="188">
        <v>1456633</v>
      </c>
      <c r="O90" s="188">
        <v>1541706</v>
      </c>
      <c r="P90" s="188">
        <v>1653840</v>
      </c>
      <c r="Q90" s="188">
        <v>2023537</v>
      </c>
      <c r="R90" s="188">
        <v>1234267</v>
      </c>
      <c r="S90" s="188">
        <v>1625291</v>
      </c>
      <c r="T90" s="188">
        <v>1379263</v>
      </c>
      <c r="U90" s="188">
        <v>1866865</v>
      </c>
      <c r="V90" s="244">
        <v>1500099</v>
      </c>
      <c r="W90" s="244">
        <v>1702823</v>
      </c>
      <c r="X90" s="244">
        <v>1370925</v>
      </c>
      <c r="Y90" s="244">
        <v>1801262</v>
      </c>
      <c r="Z90" s="244">
        <v>1191331</v>
      </c>
      <c r="AA90" s="244">
        <v>1245369</v>
      </c>
      <c r="AB90" s="244">
        <v>1259563</v>
      </c>
    </row>
    <row r="91" spans="1:28" x14ac:dyDescent="0.25">
      <c r="A91" s="186" t="s">
        <v>407</v>
      </c>
      <c r="B91" s="275" t="s">
        <v>408</v>
      </c>
      <c r="C91" s="275" t="s">
        <v>408</v>
      </c>
      <c r="D91" s="275" t="s">
        <v>408</v>
      </c>
      <c r="E91" s="188">
        <v>6917</v>
      </c>
      <c r="F91" s="275" t="s">
        <v>408</v>
      </c>
      <c r="G91" s="275" t="s">
        <v>408</v>
      </c>
      <c r="H91" s="275" t="s">
        <v>408</v>
      </c>
      <c r="I91" s="188">
        <v>80</v>
      </c>
      <c r="J91" s="275" t="s">
        <v>408</v>
      </c>
      <c r="K91" s="275" t="s">
        <v>408</v>
      </c>
      <c r="L91" s="275" t="s">
        <v>408</v>
      </c>
      <c r="M91" s="188">
        <v>40624</v>
      </c>
      <c r="N91" s="188">
        <v>37549</v>
      </c>
      <c r="O91" s="188">
        <v>74161</v>
      </c>
      <c r="P91" s="188">
        <v>75648</v>
      </c>
      <c r="Q91" s="188">
        <v>73358</v>
      </c>
      <c r="R91" s="188">
        <v>75609</v>
      </c>
      <c r="S91" s="188">
        <v>80218</v>
      </c>
      <c r="T91" s="188">
        <v>85680</v>
      </c>
      <c r="U91" s="188">
        <v>102615</v>
      </c>
      <c r="V91" s="244">
        <v>106007</v>
      </c>
      <c r="W91" s="244">
        <v>98289</v>
      </c>
      <c r="X91" s="244">
        <v>99559</v>
      </c>
      <c r="Y91" s="244">
        <v>96953</v>
      </c>
      <c r="Z91" s="244">
        <v>154470</v>
      </c>
      <c r="AA91" s="244">
        <v>125840</v>
      </c>
      <c r="AB91" s="244">
        <v>105449</v>
      </c>
    </row>
    <row r="92" spans="1:28" x14ac:dyDescent="0.25">
      <c r="A92" s="186" t="s">
        <v>263</v>
      </c>
      <c r="B92" s="347" t="s">
        <v>423</v>
      </c>
      <c r="C92" s="347" t="s">
        <v>424</v>
      </c>
      <c r="D92" s="347" t="s">
        <v>425</v>
      </c>
      <c r="E92" s="188">
        <v>169492</v>
      </c>
      <c r="F92" s="347" t="s">
        <v>426</v>
      </c>
      <c r="G92" s="347" t="s">
        <v>427</v>
      </c>
      <c r="H92" s="347" t="s">
        <v>428</v>
      </c>
      <c r="I92" s="188">
        <v>153676</v>
      </c>
      <c r="J92" s="347" t="s">
        <v>429</v>
      </c>
      <c r="K92" s="275" t="s">
        <v>430</v>
      </c>
      <c r="L92" s="347" t="s">
        <v>431</v>
      </c>
      <c r="M92" s="188">
        <v>167704</v>
      </c>
      <c r="N92" s="188">
        <v>173860</v>
      </c>
      <c r="O92" s="188">
        <v>165595</v>
      </c>
      <c r="P92" s="188">
        <v>167637</v>
      </c>
      <c r="Q92" s="188">
        <v>162368</v>
      </c>
      <c r="R92" s="188">
        <v>156783</v>
      </c>
      <c r="S92" s="188">
        <v>142315</v>
      </c>
      <c r="T92" s="188">
        <v>132840</v>
      </c>
      <c r="U92" s="244">
        <v>158954</v>
      </c>
      <c r="V92" s="244">
        <v>133955</v>
      </c>
      <c r="W92" s="244">
        <v>128598</v>
      </c>
      <c r="X92" s="244">
        <v>147881</v>
      </c>
      <c r="Y92" s="244">
        <v>172505</v>
      </c>
      <c r="Z92" s="244">
        <v>154652</v>
      </c>
      <c r="AA92" s="244">
        <v>146575</v>
      </c>
      <c r="AB92" s="244">
        <v>133730</v>
      </c>
    </row>
    <row r="93" spans="1:28" x14ac:dyDescent="0.25">
      <c r="A93" s="186" t="s">
        <v>418</v>
      </c>
      <c r="B93" s="348">
        <v>476467</v>
      </c>
      <c r="C93" s="348">
        <v>577440</v>
      </c>
      <c r="D93" s="348">
        <v>923058</v>
      </c>
      <c r="E93" s="188">
        <v>989253</v>
      </c>
      <c r="F93" s="348">
        <v>693803</v>
      </c>
      <c r="G93" s="348">
        <v>748952</v>
      </c>
      <c r="H93" s="348">
        <v>958252</v>
      </c>
      <c r="I93" s="188">
        <v>1023328</v>
      </c>
      <c r="J93" s="347">
        <v>973045</v>
      </c>
      <c r="K93" s="188">
        <v>649726</v>
      </c>
      <c r="L93" s="348">
        <v>952508</v>
      </c>
      <c r="M93" s="188">
        <v>1103036</v>
      </c>
      <c r="N93" s="188">
        <v>583019</v>
      </c>
      <c r="O93" s="188">
        <v>753330</v>
      </c>
      <c r="P93" s="188">
        <v>1010316</v>
      </c>
      <c r="Q93" s="188">
        <v>1563019</v>
      </c>
      <c r="R93" s="188">
        <v>893922</v>
      </c>
      <c r="S93" s="188">
        <v>671999</v>
      </c>
      <c r="T93" s="188">
        <v>898228</v>
      </c>
      <c r="U93" s="244">
        <v>1081415</v>
      </c>
      <c r="V93" s="244">
        <v>530278</v>
      </c>
      <c r="W93" s="244">
        <v>611345</v>
      </c>
      <c r="X93" s="244">
        <v>879583</v>
      </c>
      <c r="Y93" s="244">
        <v>1196178</v>
      </c>
      <c r="Z93" s="244">
        <v>717283</v>
      </c>
      <c r="AA93" s="244">
        <v>706776</v>
      </c>
      <c r="AB93" s="244">
        <v>991762</v>
      </c>
    </row>
    <row r="94" spans="1:28" x14ac:dyDescent="0.25">
      <c r="A94" s="186" t="s">
        <v>265</v>
      </c>
      <c r="B94" s="188">
        <v>177932</v>
      </c>
      <c r="C94" s="188">
        <v>238590</v>
      </c>
      <c r="D94" s="188">
        <v>268126</v>
      </c>
      <c r="E94" s="188">
        <v>189712</v>
      </c>
      <c r="F94" s="188">
        <v>205778</v>
      </c>
      <c r="G94" s="188">
        <v>280809</v>
      </c>
      <c r="H94" s="188">
        <v>274058</v>
      </c>
      <c r="I94" s="188">
        <f>'Hist. dane roczne'!D92</f>
        <v>275147</v>
      </c>
      <c r="J94" s="188">
        <v>255149</v>
      </c>
      <c r="K94" s="188">
        <v>294764</v>
      </c>
      <c r="L94" s="188">
        <v>337005</v>
      </c>
      <c r="M94" s="188">
        <v>268870</v>
      </c>
      <c r="N94" s="188">
        <v>241018</v>
      </c>
      <c r="O94" s="188">
        <v>399562</v>
      </c>
      <c r="P94" s="188">
        <v>361599</v>
      </c>
      <c r="Q94" s="188">
        <v>239639</v>
      </c>
      <c r="R94" s="188">
        <v>230966</v>
      </c>
      <c r="S94" s="188">
        <v>313347</v>
      </c>
      <c r="T94" s="188">
        <v>340619</v>
      </c>
      <c r="U94" s="244">
        <v>245520</v>
      </c>
      <c r="V94" s="244">
        <v>220344</v>
      </c>
      <c r="W94" s="244">
        <v>293190</v>
      </c>
      <c r="X94" s="244">
        <v>324934</v>
      </c>
      <c r="Y94" s="244">
        <v>254337</v>
      </c>
      <c r="Z94" s="244">
        <v>233115</v>
      </c>
      <c r="AA94" s="244">
        <v>304205</v>
      </c>
      <c r="AB94" s="244">
        <v>333967</v>
      </c>
    </row>
    <row r="95" spans="1:28" x14ac:dyDescent="0.25">
      <c r="A95" s="186" t="s">
        <v>432</v>
      </c>
      <c r="B95" s="188">
        <v>35048</v>
      </c>
      <c r="C95" s="188">
        <v>68663</v>
      </c>
      <c r="D95" s="188">
        <v>91009</v>
      </c>
      <c r="E95" s="188">
        <v>68672</v>
      </c>
      <c r="F95" s="188">
        <v>26791</v>
      </c>
      <c r="G95" s="188">
        <v>76310</v>
      </c>
      <c r="H95" s="188">
        <v>114786</v>
      </c>
      <c r="I95" s="188">
        <f>'Hist. dane roczne'!D93</f>
        <v>163437</v>
      </c>
      <c r="J95" s="188">
        <v>174357</v>
      </c>
      <c r="K95" s="188">
        <v>45975</v>
      </c>
      <c r="L95" s="188">
        <v>83127</v>
      </c>
      <c r="M95" s="188">
        <v>113034</v>
      </c>
      <c r="N95" s="188">
        <v>72603</v>
      </c>
      <c r="O95" s="188">
        <v>63354</v>
      </c>
      <c r="P95" s="188">
        <v>117238</v>
      </c>
      <c r="Q95" s="188">
        <v>79035</v>
      </c>
      <c r="R95" s="188">
        <v>7010</v>
      </c>
      <c r="S95" s="188">
        <v>1786</v>
      </c>
      <c r="T95" s="188">
        <v>6132</v>
      </c>
      <c r="U95" s="244">
        <v>13518</v>
      </c>
      <c r="V95" s="244">
        <v>68526</v>
      </c>
      <c r="W95" s="244">
        <v>1312</v>
      </c>
      <c r="X95" s="244">
        <v>41021</v>
      </c>
      <c r="Y95" s="244">
        <v>85357</v>
      </c>
      <c r="Z95" s="244">
        <v>373</v>
      </c>
      <c r="AA95" s="244">
        <v>681</v>
      </c>
      <c r="AB95" s="244">
        <v>28788</v>
      </c>
    </row>
    <row r="96" spans="1:28" x14ac:dyDescent="0.25">
      <c r="A96" s="186" t="s">
        <v>275</v>
      </c>
      <c r="B96" s="188">
        <v>779395</v>
      </c>
      <c r="C96" s="188">
        <v>639528</v>
      </c>
      <c r="D96" s="188">
        <v>642473</v>
      </c>
      <c r="E96" s="188">
        <v>752819</v>
      </c>
      <c r="F96" s="188">
        <v>811554</v>
      </c>
      <c r="G96" s="188">
        <v>686263</v>
      </c>
      <c r="H96" s="188">
        <v>617978</v>
      </c>
      <c r="I96" s="188">
        <f>'Hist. dane roczne'!D94</f>
        <v>645067</v>
      </c>
      <c r="J96" s="188">
        <v>824980</v>
      </c>
      <c r="K96" s="188">
        <v>796374</v>
      </c>
      <c r="L96" s="188">
        <v>756052</v>
      </c>
      <c r="M96" s="188">
        <v>769234</v>
      </c>
      <c r="N96" s="188">
        <v>759022</v>
      </c>
      <c r="O96" s="188">
        <v>625307</v>
      </c>
      <c r="P96" s="188">
        <v>634359</v>
      </c>
      <c r="Q96" s="188">
        <v>814814</v>
      </c>
      <c r="R96" s="188">
        <v>788643</v>
      </c>
      <c r="S96" s="188">
        <v>588576</v>
      </c>
      <c r="T96" s="188">
        <v>620345</v>
      </c>
      <c r="U96" s="244">
        <v>619689</v>
      </c>
      <c r="V96" s="283">
        <v>710168</v>
      </c>
      <c r="W96" s="283">
        <v>606884</v>
      </c>
      <c r="X96" s="283">
        <v>578900</v>
      </c>
      <c r="Y96" s="283">
        <v>618214</v>
      </c>
      <c r="Z96" s="283">
        <v>797477</v>
      </c>
      <c r="AA96" s="283">
        <v>590223</v>
      </c>
      <c r="AB96" s="283">
        <v>560578</v>
      </c>
    </row>
    <row r="97" spans="1:28" x14ac:dyDescent="0.25">
      <c r="A97" s="190" t="s">
        <v>433</v>
      </c>
      <c r="B97" s="284">
        <v>0</v>
      </c>
      <c r="C97" s="284">
        <v>0</v>
      </c>
      <c r="D97" s="284">
        <v>0</v>
      </c>
      <c r="E97" s="284">
        <v>0</v>
      </c>
      <c r="F97" s="284">
        <v>0</v>
      </c>
      <c r="G97" s="284">
        <v>0</v>
      </c>
      <c r="H97" s="284">
        <v>0</v>
      </c>
      <c r="I97" s="284">
        <v>0</v>
      </c>
      <c r="J97" s="284">
        <v>0</v>
      </c>
      <c r="K97" s="284">
        <v>0</v>
      </c>
      <c r="L97" s="284">
        <v>0</v>
      </c>
      <c r="M97" s="284">
        <v>0</v>
      </c>
      <c r="N97" s="284">
        <v>0</v>
      </c>
      <c r="O97" s="284">
        <v>0</v>
      </c>
      <c r="P97" s="284">
        <v>0</v>
      </c>
      <c r="Q97" s="284">
        <v>0</v>
      </c>
      <c r="R97" s="284">
        <v>0</v>
      </c>
      <c r="S97" s="284">
        <v>0</v>
      </c>
      <c r="T97" s="284">
        <v>0</v>
      </c>
      <c r="U97" s="285">
        <v>84970</v>
      </c>
      <c r="V97" s="254">
        <v>84282</v>
      </c>
      <c r="W97" s="254">
        <v>84157</v>
      </c>
      <c r="X97" s="254">
        <v>127060</v>
      </c>
      <c r="Y97" s="268">
        <v>0</v>
      </c>
      <c r="Z97" s="268">
        <v>0</v>
      </c>
      <c r="AA97" s="268">
        <v>0</v>
      </c>
      <c r="AB97" s="268">
        <v>0</v>
      </c>
    </row>
    <row r="98" spans="1:28" x14ac:dyDescent="0.25">
      <c r="A98" s="257"/>
      <c r="B98" s="283">
        <v>3201965</v>
      </c>
      <c r="C98" s="283">
        <v>3358420</v>
      </c>
      <c r="D98" s="283">
        <v>3652970</v>
      </c>
      <c r="E98" s="283">
        <v>4148150</v>
      </c>
      <c r="F98" s="283">
        <v>3060577</v>
      </c>
      <c r="G98" s="283">
        <v>3651805</v>
      </c>
      <c r="H98" s="283">
        <v>3393303</v>
      </c>
      <c r="I98" s="283">
        <f>'Hist. dane roczne'!D96</f>
        <v>4838786</v>
      </c>
      <c r="J98" s="283">
        <v>4235457</v>
      </c>
      <c r="K98" s="283">
        <v>4339002</v>
      </c>
      <c r="L98" s="283">
        <v>4232567</v>
      </c>
      <c r="M98" s="283">
        <v>5392423</v>
      </c>
      <c r="N98" s="283">
        <v>3765182</v>
      </c>
      <c r="O98" s="283">
        <v>3924245</v>
      </c>
      <c r="P98" s="283">
        <v>4306899</v>
      </c>
      <c r="Q98" s="283">
        <v>5257730</v>
      </c>
      <c r="R98" s="283">
        <v>4018618</v>
      </c>
      <c r="S98" s="283">
        <v>3778952</v>
      </c>
      <c r="T98" s="283">
        <v>3859402</v>
      </c>
      <c r="U98" s="283">
        <v>4818537</v>
      </c>
      <c r="V98" s="283">
        <v>4003452</v>
      </c>
      <c r="W98" s="283">
        <v>4052828</v>
      </c>
      <c r="X98" s="283">
        <v>4147364</v>
      </c>
      <c r="Y98" s="283">
        <f>SUM(Y88:Y97)</f>
        <v>7439326</v>
      </c>
      <c r="Z98" s="283">
        <v>4354195</v>
      </c>
      <c r="AA98" s="283">
        <v>4190389</v>
      </c>
      <c r="AB98" s="283">
        <v>4546852</v>
      </c>
    </row>
    <row r="99" spans="1:28" x14ac:dyDescent="0.25">
      <c r="A99" s="183"/>
      <c r="B99" s="156"/>
      <c r="C99" s="156"/>
      <c r="D99" s="156"/>
      <c r="E99" s="156"/>
      <c r="F99" s="156"/>
      <c r="G99" s="156"/>
      <c r="H99" s="156"/>
      <c r="I99" s="156"/>
      <c r="J99" s="156"/>
      <c r="K99" s="156"/>
      <c r="L99" s="156"/>
      <c r="M99" s="156"/>
      <c r="N99" s="156"/>
      <c r="O99" s="156"/>
      <c r="P99" s="156"/>
      <c r="Q99" s="156"/>
      <c r="R99" s="156"/>
      <c r="S99" s="156"/>
      <c r="T99" s="156"/>
      <c r="U99" s="156"/>
      <c r="V99" s="156"/>
      <c r="W99" s="156"/>
      <c r="X99" s="156"/>
      <c r="Y99" s="156"/>
      <c r="Z99" s="156"/>
      <c r="AA99" s="156"/>
      <c r="AB99" s="156"/>
    </row>
    <row r="100" spans="1:28" x14ac:dyDescent="0.25">
      <c r="A100" s="196" t="s">
        <v>276</v>
      </c>
      <c r="B100" s="279">
        <v>7221161</v>
      </c>
      <c r="C100" s="279">
        <v>7218807</v>
      </c>
      <c r="D100" s="279">
        <v>7470532</v>
      </c>
      <c r="E100" s="279">
        <v>8324527</v>
      </c>
      <c r="F100" s="279">
        <v>7212993</v>
      </c>
      <c r="G100" s="279">
        <v>7767641</v>
      </c>
      <c r="H100" s="279">
        <v>7539037</v>
      </c>
      <c r="I100" s="279">
        <f>'Hist. dane roczne'!D98</f>
        <v>12377491</v>
      </c>
      <c r="J100" s="279">
        <v>12323034</v>
      </c>
      <c r="K100" s="279">
        <v>12528896</v>
      </c>
      <c r="L100" s="279">
        <v>12837244</v>
      </c>
      <c r="M100" s="279">
        <v>14473657</v>
      </c>
      <c r="N100" s="279">
        <v>13433612</v>
      </c>
      <c r="O100" s="279">
        <v>13396516</v>
      </c>
      <c r="P100" s="279">
        <v>13749941</v>
      </c>
      <c r="Q100" s="279">
        <v>14562071</v>
      </c>
      <c r="R100" s="279">
        <v>13800937</v>
      </c>
      <c r="S100" s="279">
        <v>13754609</v>
      </c>
      <c r="T100" s="279">
        <v>13999998</v>
      </c>
      <c r="U100" s="279">
        <v>16562629</v>
      </c>
      <c r="V100" s="279">
        <v>15659657</v>
      </c>
      <c r="W100" s="279">
        <v>15830280</v>
      </c>
      <c r="X100" s="279">
        <v>16083227</v>
      </c>
      <c r="Y100" s="279">
        <v>16023276</v>
      </c>
      <c r="Z100" s="279">
        <v>15870469</v>
      </c>
      <c r="AA100" s="279">
        <v>15577699</v>
      </c>
      <c r="AB100" s="279">
        <v>15536167</v>
      </c>
    </row>
    <row r="101" spans="1:28" x14ac:dyDescent="0.25">
      <c r="A101" s="183"/>
      <c r="B101" s="156"/>
      <c r="C101" s="156"/>
      <c r="D101" s="156"/>
      <c r="E101" s="156"/>
      <c r="F101" s="156"/>
      <c r="G101" s="156"/>
      <c r="H101" s="156"/>
      <c r="I101" s="156"/>
      <c r="J101" s="156"/>
      <c r="K101" s="156"/>
      <c r="L101" s="156"/>
      <c r="M101" s="156"/>
      <c r="N101" s="156"/>
      <c r="O101" s="156"/>
      <c r="P101" s="156"/>
      <c r="Q101" s="156"/>
      <c r="R101" s="156"/>
      <c r="S101" s="156"/>
      <c r="T101" s="156"/>
      <c r="U101" s="156"/>
      <c r="V101" s="156"/>
      <c r="W101" s="156"/>
      <c r="X101" s="156"/>
      <c r="Y101" s="156"/>
      <c r="Z101" s="156"/>
      <c r="AA101" s="156"/>
      <c r="AB101" s="156"/>
    </row>
    <row r="102" spans="1:28" x14ac:dyDescent="0.25">
      <c r="A102" s="147" t="s">
        <v>277</v>
      </c>
      <c r="B102" s="278">
        <v>21807983</v>
      </c>
      <c r="C102" s="278">
        <v>22016701.5</v>
      </c>
      <c r="D102" s="278">
        <v>22515176</v>
      </c>
      <c r="E102" s="278">
        <v>23426963</v>
      </c>
      <c r="F102" s="278">
        <v>22789982</v>
      </c>
      <c r="G102" s="278">
        <v>23404475</v>
      </c>
      <c r="H102" s="278">
        <v>23461511</v>
      </c>
      <c r="I102" s="278">
        <f>'Hist. dane roczne'!D100</f>
        <v>28526996</v>
      </c>
      <c r="J102" s="278">
        <v>28852487</v>
      </c>
      <c r="K102" s="278">
        <v>28968106</v>
      </c>
      <c r="L102" s="278">
        <v>29676658</v>
      </c>
      <c r="M102" s="278">
        <v>31273677</v>
      </c>
      <c r="N102" s="278">
        <v>30749673</v>
      </c>
      <c r="O102" s="278">
        <v>30689681</v>
      </c>
      <c r="P102" s="278">
        <v>31425277</v>
      </c>
      <c r="Q102" s="278">
        <v>32355570</v>
      </c>
      <c r="R102" s="278">
        <v>31670077</v>
      </c>
      <c r="S102" s="278">
        <v>31577237</v>
      </c>
      <c r="T102" s="278">
        <v>32137089</v>
      </c>
      <c r="U102" s="278">
        <v>34559193</v>
      </c>
      <c r="V102" s="278">
        <v>34172992</v>
      </c>
      <c r="W102" s="278">
        <v>34322074</v>
      </c>
      <c r="X102" s="278">
        <v>34949928</v>
      </c>
      <c r="Y102" s="278">
        <v>32071433</v>
      </c>
      <c r="Z102" s="278">
        <v>32250551</v>
      </c>
      <c r="AA102" s="278">
        <v>31661822</v>
      </c>
      <c r="AB102" s="278">
        <v>31913686</v>
      </c>
    </row>
    <row r="103" spans="1:28" x14ac:dyDescent="0.25">
      <c r="B103" s="245"/>
      <c r="C103" s="245"/>
      <c r="D103" s="245"/>
      <c r="E103" s="245"/>
      <c r="F103" s="245"/>
      <c r="G103" s="245"/>
      <c r="H103" s="245"/>
      <c r="I103" s="245"/>
      <c r="J103" s="245"/>
      <c r="K103" s="245"/>
      <c r="L103" s="245"/>
      <c r="M103" s="245"/>
      <c r="N103" s="245"/>
      <c r="O103" s="245"/>
      <c r="P103" s="245"/>
      <c r="T103" s="242"/>
    </row>
    <row r="104" spans="1:28" s="286" customFormat="1" ht="15.75" x14ac:dyDescent="0.25">
      <c r="A104" s="269" t="s">
        <v>278</v>
      </c>
      <c r="T104" s="287"/>
    </row>
    <row r="105" spans="1:28" ht="25.5" x14ac:dyDescent="0.25">
      <c r="A105" s="61" t="s">
        <v>86</v>
      </c>
      <c r="B105" s="146" t="s">
        <v>312</v>
      </c>
      <c r="C105" s="146" t="s">
        <v>313</v>
      </c>
      <c r="D105" s="146" t="s">
        <v>314</v>
      </c>
      <c r="E105" s="146" t="s">
        <v>315</v>
      </c>
      <c r="F105" s="146" t="s">
        <v>316</v>
      </c>
      <c r="G105" s="146" t="s">
        <v>317</v>
      </c>
      <c r="H105" s="146" t="s">
        <v>318</v>
      </c>
      <c r="I105" s="146" t="s">
        <v>319</v>
      </c>
      <c r="J105" s="146" t="s">
        <v>320</v>
      </c>
      <c r="K105" s="146" t="s">
        <v>321</v>
      </c>
      <c r="L105" s="146" t="s">
        <v>434</v>
      </c>
      <c r="M105" s="239" t="s">
        <v>323</v>
      </c>
      <c r="N105" s="146" t="s">
        <v>324</v>
      </c>
      <c r="O105" s="146" t="s">
        <v>325</v>
      </c>
      <c r="P105" s="146" t="s">
        <v>326</v>
      </c>
      <c r="Q105" s="240" t="s">
        <v>327</v>
      </c>
      <c r="R105" s="146" t="s">
        <v>328</v>
      </c>
      <c r="S105" s="146" t="s">
        <v>329</v>
      </c>
      <c r="T105" s="272" t="s">
        <v>330</v>
      </c>
      <c r="U105" s="272" t="s">
        <v>331</v>
      </c>
      <c r="V105" s="272" t="s">
        <v>332</v>
      </c>
      <c r="W105" s="272" t="s">
        <v>333</v>
      </c>
      <c r="X105" s="272" t="s">
        <v>334</v>
      </c>
      <c r="Y105" s="272" t="s">
        <v>335</v>
      </c>
      <c r="Z105" s="272" t="s">
        <v>336</v>
      </c>
      <c r="AA105" s="272" t="s">
        <v>512</v>
      </c>
      <c r="AB105" s="272" t="s">
        <v>531</v>
      </c>
    </row>
    <row r="106" spans="1:28" s="183" customFormat="1" ht="12.75" x14ac:dyDescent="0.2">
      <c r="A106" s="182" t="s">
        <v>279</v>
      </c>
      <c r="B106" s="279"/>
      <c r="C106" s="279"/>
      <c r="D106" s="279"/>
      <c r="E106" s="279"/>
      <c r="F106" s="279"/>
      <c r="G106" s="279"/>
      <c r="H106" s="279"/>
      <c r="I106" s="279"/>
      <c r="J106" s="279"/>
      <c r="K106" s="279"/>
      <c r="L106" s="279"/>
      <c r="M106" s="279"/>
      <c r="N106" s="279"/>
      <c r="O106" s="279"/>
      <c r="P106" s="279"/>
      <c r="Q106" s="196"/>
      <c r="R106" s="196"/>
      <c r="S106" s="196"/>
      <c r="T106" s="196"/>
      <c r="U106" s="196"/>
      <c r="V106" s="196"/>
      <c r="W106" s="196"/>
      <c r="X106" s="196"/>
      <c r="Y106" s="196"/>
      <c r="Z106" s="196"/>
      <c r="AA106" s="196"/>
      <c r="AB106" s="196"/>
    </row>
    <row r="107" spans="1:28" x14ac:dyDescent="0.25">
      <c r="A107" s="288" t="s">
        <v>343</v>
      </c>
      <c r="B107" s="244">
        <v>449729</v>
      </c>
      <c r="C107" s="244">
        <v>271729</v>
      </c>
      <c r="D107" s="244">
        <v>324122</v>
      </c>
      <c r="E107" s="244">
        <v>211734</v>
      </c>
      <c r="F107" s="244">
        <v>486740</v>
      </c>
      <c r="G107" s="244">
        <v>428125</v>
      </c>
      <c r="H107" s="244">
        <v>366607</v>
      </c>
      <c r="I107" s="244">
        <v>318479</v>
      </c>
      <c r="J107" s="244">
        <v>498858</v>
      </c>
      <c r="K107" s="244">
        <v>643498</v>
      </c>
      <c r="L107" s="244">
        <v>536886</v>
      </c>
      <c r="M107" s="244">
        <v>268335</v>
      </c>
      <c r="N107" s="244">
        <v>737127</v>
      </c>
      <c r="O107" s="244">
        <v>349027</v>
      </c>
      <c r="P107" s="244">
        <v>459233</v>
      </c>
      <c r="Q107" s="244">
        <v>142507</v>
      </c>
      <c r="R107" s="244">
        <v>557590</v>
      </c>
      <c r="S107" s="244">
        <v>367953</v>
      </c>
      <c r="T107" s="244">
        <v>386953</v>
      </c>
      <c r="U107" s="244">
        <v>185719</v>
      </c>
      <c r="V107" s="244">
        <v>574373</v>
      </c>
      <c r="W107" s="244">
        <v>284430</v>
      </c>
      <c r="X107" s="244">
        <v>454876</v>
      </c>
      <c r="Y107" s="156">
        <v>-3501450</v>
      </c>
      <c r="Z107" s="244">
        <v>411595</v>
      </c>
      <c r="AA107" s="156">
        <v>-378920</v>
      </c>
      <c r="AB107" s="244">
        <v>336869</v>
      </c>
    </row>
    <row r="108" spans="1:28" x14ac:dyDescent="0.25">
      <c r="A108" s="183" t="s">
        <v>435</v>
      </c>
      <c r="B108" s="156"/>
      <c r="C108" s="156"/>
      <c r="D108" s="156"/>
      <c r="E108" s="156"/>
      <c r="F108" s="156"/>
      <c r="G108" s="156"/>
      <c r="H108" s="156"/>
      <c r="I108" s="156"/>
      <c r="J108" s="156"/>
      <c r="K108" s="156"/>
      <c r="L108" s="156"/>
      <c r="M108" s="156"/>
      <c r="N108" s="156"/>
      <c r="O108" s="156"/>
      <c r="P108" s="156"/>
      <c r="Q108" s="156"/>
      <c r="R108" s="156"/>
      <c r="S108" s="156"/>
      <c r="T108" s="156"/>
      <c r="U108" s="156"/>
      <c r="V108" s="156"/>
      <c r="W108" s="156"/>
      <c r="X108" s="156"/>
      <c r="Y108" s="156"/>
      <c r="Z108" s="156"/>
      <c r="AA108" s="156"/>
      <c r="AB108" s="156"/>
    </row>
    <row r="109" spans="1:28" x14ac:dyDescent="0.25">
      <c r="A109" s="288" t="s">
        <v>436</v>
      </c>
      <c r="B109" s="149">
        <v>0</v>
      </c>
      <c r="C109" s="149">
        <v>0</v>
      </c>
      <c r="D109" s="149">
        <v>0</v>
      </c>
      <c r="E109" s="244">
        <v>236</v>
      </c>
      <c r="F109" s="244">
        <v>297</v>
      </c>
      <c r="G109" s="244">
        <v>242</v>
      </c>
      <c r="H109" s="244">
        <v>188</v>
      </c>
      <c r="I109" s="244">
        <v>319</v>
      </c>
      <c r="J109" s="244">
        <v>354</v>
      </c>
      <c r="K109" s="244">
        <v>317</v>
      </c>
      <c r="L109" s="244">
        <v>302</v>
      </c>
      <c r="M109" s="244">
        <v>761</v>
      </c>
      <c r="N109" s="244">
        <v>869</v>
      </c>
      <c r="O109" s="244">
        <v>545</v>
      </c>
      <c r="P109" s="244">
        <v>506</v>
      </c>
      <c r="Q109" s="244">
        <v>789</v>
      </c>
      <c r="R109" s="244">
        <v>406</v>
      </c>
      <c r="S109" s="244">
        <v>370</v>
      </c>
      <c r="T109" s="244">
        <v>400</v>
      </c>
      <c r="U109" s="156">
        <v>-240</v>
      </c>
      <c r="V109" s="188">
        <v>-20400</v>
      </c>
      <c r="W109" s="244">
        <v>15530</v>
      </c>
      <c r="X109" s="244">
        <v>4560</v>
      </c>
      <c r="Y109" s="156">
        <v>-7623</v>
      </c>
      <c r="Z109" s="156">
        <v>-23035</v>
      </c>
      <c r="AA109" s="156">
        <v>-36826</v>
      </c>
      <c r="AB109" s="156">
        <v>-18477</v>
      </c>
    </row>
    <row r="110" spans="1:28" x14ac:dyDescent="0.25">
      <c r="A110" s="215" t="s">
        <v>281</v>
      </c>
      <c r="B110" s="244">
        <v>346604</v>
      </c>
      <c r="C110" s="244">
        <v>341924</v>
      </c>
      <c r="D110" s="244">
        <v>340860</v>
      </c>
      <c r="E110" s="244">
        <v>329390</v>
      </c>
      <c r="F110" s="244">
        <v>349588</v>
      </c>
      <c r="G110" s="244">
        <v>348244</v>
      </c>
      <c r="H110" s="244">
        <v>351648</v>
      </c>
      <c r="I110" s="244">
        <v>361617</v>
      </c>
      <c r="J110" s="244">
        <v>416352</v>
      </c>
      <c r="K110" s="244">
        <v>411336</v>
      </c>
      <c r="L110" s="244">
        <v>420817</v>
      </c>
      <c r="M110" s="244">
        <v>437699</v>
      </c>
      <c r="N110" s="244">
        <v>432521</v>
      </c>
      <c r="O110" s="244">
        <v>431124</v>
      </c>
      <c r="P110" s="244">
        <v>423414</v>
      </c>
      <c r="Q110" s="244">
        <v>440010</v>
      </c>
      <c r="R110" s="244">
        <v>455747</v>
      </c>
      <c r="S110" s="244">
        <v>456358</v>
      </c>
      <c r="T110" s="244">
        <v>456211</v>
      </c>
      <c r="U110" s="244">
        <v>428601</v>
      </c>
      <c r="V110" s="244">
        <v>435307</v>
      </c>
      <c r="W110" s="244">
        <v>435296</v>
      </c>
      <c r="X110" s="244">
        <v>444194</v>
      </c>
      <c r="Y110" s="244">
        <v>517983</v>
      </c>
      <c r="Z110" s="244">
        <v>413618</v>
      </c>
      <c r="AA110" s="244">
        <v>407754</v>
      </c>
      <c r="AB110" s="244">
        <v>423879</v>
      </c>
    </row>
    <row r="111" spans="1:28" x14ac:dyDescent="0.25">
      <c r="A111" s="215" t="s">
        <v>437</v>
      </c>
      <c r="B111" s="156">
        <v>-2430</v>
      </c>
      <c r="C111" s="244">
        <v>5207</v>
      </c>
      <c r="D111" s="188">
        <v>-2576</v>
      </c>
      <c r="E111" s="188">
        <v>-158</v>
      </c>
      <c r="F111" s="188">
        <v>-308</v>
      </c>
      <c r="G111" s="188">
        <v>-118</v>
      </c>
      <c r="H111" s="244">
        <v>3363</v>
      </c>
      <c r="I111" s="156">
        <v>-118</v>
      </c>
      <c r="J111" s="156">
        <v>-1011</v>
      </c>
      <c r="K111" s="156">
        <v>-108</v>
      </c>
      <c r="L111" s="244">
        <v>421</v>
      </c>
      <c r="M111" s="244">
        <v>307</v>
      </c>
      <c r="N111" s="244">
        <v>929</v>
      </c>
      <c r="O111" s="244">
        <v>975</v>
      </c>
      <c r="P111" s="244">
        <v>204</v>
      </c>
      <c r="Q111" s="156">
        <v>-1261</v>
      </c>
      <c r="R111" s="244">
        <v>122</v>
      </c>
      <c r="S111" s="156">
        <v>-97</v>
      </c>
      <c r="T111" s="156">
        <v>-159</v>
      </c>
      <c r="U111" s="244">
        <v>7391</v>
      </c>
      <c r="V111" s="188">
        <v>-28789</v>
      </c>
      <c r="W111" s="244">
        <v>17362</v>
      </c>
      <c r="X111" s="244">
        <v>7523</v>
      </c>
      <c r="Y111" s="244">
        <v>3189</v>
      </c>
      <c r="Z111" s="156">
        <v>-1666</v>
      </c>
      <c r="AA111" s="244">
        <v>30035</v>
      </c>
      <c r="AB111" s="156">
        <v>-22110</v>
      </c>
    </row>
    <row r="112" spans="1:28" x14ac:dyDescent="0.25">
      <c r="A112" s="215" t="s">
        <v>438</v>
      </c>
      <c r="B112" s="244">
        <v>30626</v>
      </c>
      <c r="C112" s="244">
        <v>25783</v>
      </c>
      <c r="D112" s="244">
        <v>25098</v>
      </c>
      <c r="E112" s="244">
        <v>50824</v>
      </c>
      <c r="F112" s="244">
        <v>20372</v>
      </c>
      <c r="G112" s="244">
        <v>4808</v>
      </c>
      <c r="H112" s="244">
        <v>15477</v>
      </c>
      <c r="I112" s="244">
        <v>17637</v>
      </c>
      <c r="J112" s="244">
        <v>56209</v>
      </c>
      <c r="K112" s="244">
        <v>51024</v>
      </c>
      <c r="L112" s="244">
        <v>55729</v>
      </c>
      <c r="M112" s="244">
        <v>62564</v>
      </c>
      <c r="N112" s="244">
        <v>49643</v>
      </c>
      <c r="O112" s="244">
        <v>54874</v>
      </c>
      <c r="P112" s="244">
        <v>48327</v>
      </c>
      <c r="Q112" s="244">
        <v>67439</v>
      </c>
      <c r="R112" s="244">
        <v>66005</v>
      </c>
      <c r="S112" s="244">
        <v>71029</v>
      </c>
      <c r="T112" s="244">
        <v>68074</v>
      </c>
      <c r="U112" s="244">
        <v>81625</v>
      </c>
      <c r="V112" s="244">
        <v>68135</v>
      </c>
      <c r="W112" s="244">
        <v>69142</v>
      </c>
      <c r="X112" s="244">
        <v>66298</v>
      </c>
      <c r="Y112" s="244">
        <v>69927</v>
      </c>
      <c r="Z112" s="244">
        <v>64254</v>
      </c>
      <c r="AA112" s="244">
        <v>62132</v>
      </c>
      <c r="AB112" s="244">
        <v>60686</v>
      </c>
    </row>
    <row r="113" spans="1:30" x14ac:dyDescent="0.25">
      <c r="A113" s="215" t="s">
        <v>439</v>
      </c>
      <c r="B113" s="244">
        <v>1198</v>
      </c>
      <c r="C113" s="244">
        <v>54</v>
      </c>
      <c r="D113" s="244">
        <v>11884</v>
      </c>
      <c r="E113" s="244">
        <v>17</v>
      </c>
      <c r="F113" s="244">
        <v>1035</v>
      </c>
      <c r="G113" s="244">
        <v>11170</v>
      </c>
      <c r="H113" s="244">
        <v>2305</v>
      </c>
      <c r="I113" s="156">
        <v>-31078</v>
      </c>
      <c r="J113" s="244">
        <v>3889</v>
      </c>
      <c r="K113" s="244">
        <v>13492</v>
      </c>
      <c r="L113" s="156">
        <v>-5860</v>
      </c>
      <c r="M113" s="244">
        <v>23794</v>
      </c>
      <c r="N113" s="244">
        <v>1418</v>
      </c>
      <c r="O113" s="244">
        <v>234344</v>
      </c>
      <c r="P113" s="244">
        <v>23129</v>
      </c>
      <c r="Q113" s="244">
        <v>58823</v>
      </c>
      <c r="R113" s="244">
        <v>17162</v>
      </c>
      <c r="S113" s="244">
        <v>12707</v>
      </c>
      <c r="T113" s="244">
        <v>3327</v>
      </c>
      <c r="U113" s="244">
        <v>11347</v>
      </c>
      <c r="V113" s="156">
        <v>-21113</v>
      </c>
      <c r="W113" s="244">
        <v>59884</v>
      </c>
      <c r="X113" s="156">
        <v>-46538</v>
      </c>
      <c r="Y113" s="244">
        <v>3616589</v>
      </c>
      <c r="Z113" s="188">
        <v>-14626</v>
      </c>
      <c r="AA113" s="244">
        <v>696972</v>
      </c>
      <c r="AB113" s="188">
        <v>-2954</v>
      </c>
    </row>
    <row r="114" spans="1:30" x14ac:dyDescent="0.25">
      <c r="A114" s="215" t="s">
        <v>440</v>
      </c>
      <c r="B114" s="156">
        <v>-284957</v>
      </c>
      <c r="C114" s="244">
        <v>158263</v>
      </c>
      <c r="D114" s="156">
        <v>-17033</v>
      </c>
      <c r="E114" s="156">
        <v>-251666</v>
      </c>
      <c r="F114" s="156">
        <v>-214271</v>
      </c>
      <c r="G114" s="244">
        <v>61292</v>
      </c>
      <c r="H114" s="244">
        <v>183538</v>
      </c>
      <c r="I114" s="156">
        <v>-178504</v>
      </c>
      <c r="J114" s="156">
        <v>-372618</v>
      </c>
      <c r="K114" s="244">
        <v>304259</v>
      </c>
      <c r="L114" s="156">
        <v>-36057</v>
      </c>
      <c r="M114" s="156">
        <v>-187288</v>
      </c>
      <c r="N114" s="244">
        <v>192772</v>
      </c>
      <c r="O114" s="244">
        <v>268864</v>
      </c>
      <c r="P114" s="244">
        <v>443026</v>
      </c>
      <c r="Q114" s="244">
        <v>19755</v>
      </c>
      <c r="R114" s="156">
        <v>-3427</v>
      </c>
      <c r="S114" s="244">
        <v>214770</v>
      </c>
      <c r="T114" s="156">
        <v>-55547</v>
      </c>
      <c r="U114" s="156">
        <v>-44080</v>
      </c>
      <c r="V114" s="244">
        <v>2211</v>
      </c>
      <c r="W114" s="244">
        <v>89265</v>
      </c>
      <c r="X114" s="244">
        <v>67550</v>
      </c>
      <c r="Y114" s="156">
        <v>-40220</v>
      </c>
      <c r="Z114" s="156">
        <v>-85570</v>
      </c>
      <c r="AA114" s="244">
        <v>115486</v>
      </c>
      <c r="AB114" s="244">
        <v>87692</v>
      </c>
    </row>
    <row r="115" spans="1:30" x14ac:dyDescent="0.25">
      <c r="A115" s="215" t="s">
        <v>441</v>
      </c>
      <c r="B115" s="244">
        <v>90350</v>
      </c>
      <c r="C115" s="244">
        <v>5913</v>
      </c>
      <c r="D115" s="156">
        <v>-240</v>
      </c>
      <c r="E115" s="244">
        <v>21349</v>
      </c>
      <c r="F115" s="244">
        <v>55183</v>
      </c>
      <c r="G115" s="156">
        <v>-38433</v>
      </c>
      <c r="H115" s="156">
        <v>-25956</v>
      </c>
      <c r="I115" s="156">
        <v>-175382</v>
      </c>
      <c r="J115" s="244">
        <v>35235</v>
      </c>
      <c r="K115" s="244">
        <v>5238</v>
      </c>
      <c r="L115" s="244">
        <v>26737</v>
      </c>
      <c r="M115" s="156">
        <v>-203302</v>
      </c>
      <c r="N115" s="244">
        <v>172998</v>
      </c>
      <c r="O115" s="244">
        <v>66095</v>
      </c>
      <c r="P115" s="156">
        <v>-16199</v>
      </c>
      <c r="Q115" s="156">
        <v>-36126</v>
      </c>
      <c r="R115" s="244">
        <v>3107</v>
      </c>
      <c r="S115" s="244">
        <v>28293</v>
      </c>
      <c r="T115" s="156">
        <v>-73741</v>
      </c>
      <c r="U115" s="156">
        <v>-1527</v>
      </c>
      <c r="V115" s="244">
        <v>46033</v>
      </c>
      <c r="W115" s="244">
        <v>75532</v>
      </c>
      <c r="X115" s="244">
        <v>42498</v>
      </c>
      <c r="Y115" s="156">
        <v>-73566</v>
      </c>
      <c r="Z115" s="244">
        <v>14231</v>
      </c>
      <c r="AA115" s="244">
        <v>13441</v>
      </c>
      <c r="AB115" s="156">
        <v>-21413</v>
      </c>
    </row>
    <row r="116" spans="1:30" x14ac:dyDescent="0.25">
      <c r="A116" s="215" t="s">
        <v>442</v>
      </c>
      <c r="B116" s="156">
        <v>-28033</v>
      </c>
      <c r="C116" s="156">
        <v>-144264</v>
      </c>
      <c r="D116" s="244">
        <v>92571</v>
      </c>
      <c r="E116" s="244">
        <v>295284</v>
      </c>
      <c r="F116" s="156">
        <v>-217821</v>
      </c>
      <c r="G116" s="156">
        <v>-124555</v>
      </c>
      <c r="H116" s="156">
        <v>-100399</v>
      </c>
      <c r="I116" s="244">
        <v>366555</v>
      </c>
      <c r="J116" s="156">
        <v>-156809</v>
      </c>
      <c r="K116" s="156">
        <v>-209471</v>
      </c>
      <c r="L116" s="244">
        <v>106904</v>
      </c>
      <c r="M116" s="244">
        <v>329588</v>
      </c>
      <c r="N116" s="156">
        <v>-576726</v>
      </c>
      <c r="O116" s="156">
        <v>-193075</v>
      </c>
      <c r="P116" s="244">
        <v>121651</v>
      </c>
      <c r="Q116" s="244">
        <v>319273</v>
      </c>
      <c r="R116" s="156">
        <v>-466194</v>
      </c>
      <c r="S116" s="156">
        <v>-178771</v>
      </c>
      <c r="T116" s="244">
        <v>103064</v>
      </c>
      <c r="U116" s="244">
        <v>307887</v>
      </c>
      <c r="V116" s="156">
        <v>-183090</v>
      </c>
      <c r="W116" s="156">
        <v>-175058</v>
      </c>
      <c r="X116" s="156">
        <v>-36216</v>
      </c>
      <c r="Y116" s="244">
        <v>213728</v>
      </c>
      <c r="Z116" s="156">
        <v>-119081</v>
      </c>
      <c r="AA116" s="156">
        <v>-191214</v>
      </c>
      <c r="AB116" s="156">
        <v>-104691</v>
      </c>
    </row>
    <row r="117" spans="1:30" x14ac:dyDescent="0.25">
      <c r="A117" s="215" t="s">
        <v>443</v>
      </c>
      <c r="B117" s="244">
        <v>165305</v>
      </c>
      <c r="C117" s="156">
        <v>-49099</v>
      </c>
      <c r="D117" s="156">
        <v>-124867</v>
      </c>
      <c r="E117" s="156">
        <v>-102428</v>
      </c>
      <c r="F117" s="244">
        <v>111446</v>
      </c>
      <c r="G117" s="156">
        <v>-83371</v>
      </c>
      <c r="H117" s="156">
        <v>-66200</v>
      </c>
      <c r="I117" s="156">
        <v>-38479</v>
      </c>
      <c r="J117" s="244">
        <v>144793</v>
      </c>
      <c r="K117" s="156">
        <v>-120870</v>
      </c>
      <c r="L117" s="244">
        <v>122113</v>
      </c>
      <c r="M117" s="156">
        <v>-71124</v>
      </c>
      <c r="N117" s="244">
        <v>420507</v>
      </c>
      <c r="O117" s="156">
        <v>-263358</v>
      </c>
      <c r="P117" s="156">
        <v>-161386</v>
      </c>
      <c r="Q117" s="156">
        <v>-619071</v>
      </c>
      <c r="R117" s="244">
        <v>308637</v>
      </c>
      <c r="S117" s="244">
        <v>165652</v>
      </c>
      <c r="T117" s="156">
        <v>-155006</v>
      </c>
      <c r="U117" s="156">
        <v>-497692</v>
      </c>
      <c r="V117" s="244">
        <v>424448</v>
      </c>
      <c r="W117" s="244">
        <v>17801</v>
      </c>
      <c r="X117" s="156">
        <v>-49569</v>
      </c>
      <c r="Y117" s="156">
        <v>-496856</v>
      </c>
      <c r="Z117" s="244">
        <v>558169</v>
      </c>
      <c r="AA117" s="244">
        <v>201972</v>
      </c>
      <c r="AB117" s="244">
        <v>14266</v>
      </c>
    </row>
    <row r="118" spans="1:30" x14ac:dyDescent="0.25">
      <c r="A118" s="215" t="s">
        <v>444</v>
      </c>
      <c r="B118" s="156">
        <v>-51505</v>
      </c>
      <c r="C118" s="244">
        <v>48098</v>
      </c>
      <c r="D118" s="244">
        <v>18661</v>
      </c>
      <c r="E118" s="156">
        <v>-46352</v>
      </c>
      <c r="F118" s="244">
        <v>7825</v>
      </c>
      <c r="G118" s="244">
        <v>64675</v>
      </c>
      <c r="H118" s="156">
        <v>-18567</v>
      </c>
      <c r="I118" s="156">
        <v>-93085</v>
      </c>
      <c r="J118" s="156">
        <v>-36835</v>
      </c>
      <c r="K118" s="244">
        <v>30597</v>
      </c>
      <c r="L118" s="244">
        <v>41459</v>
      </c>
      <c r="M118" s="156">
        <v>-100474</v>
      </c>
      <c r="N118" s="156">
        <v>-47210</v>
      </c>
      <c r="O118" s="244">
        <v>138662</v>
      </c>
      <c r="P118" s="156">
        <v>-42460</v>
      </c>
      <c r="Q118" s="156">
        <v>-198100</v>
      </c>
      <c r="R118" s="156">
        <v>-30297</v>
      </c>
      <c r="S118" s="244">
        <v>63032</v>
      </c>
      <c r="T118" s="244">
        <v>9459</v>
      </c>
      <c r="U118" s="156">
        <v>-109527</v>
      </c>
      <c r="V118" s="156">
        <v>-44186</v>
      </c>
      <c r="W118" s="244">
        <v>55396</v>
      </c>
      <c r="X118" s="244">
        <v>13419</v>
      </c>
      <c r="Y118" s="156">
        <v>-98591</v>
      </c>
      <c r="Z118" s="156">
        <v>-40547</v>
      </c>
      <c r="AA118" s="244">
        <v>51975</v>
      </c>
      <c r="AB118" s="244">
        <v>8296</v>
      </c>
    </row>
    <row r="119" spans="1:30" x14ac:dyDescent="0.25">
      <c r="A119" s="215" t="s">
        <v>445</v>
      </c>
      <c r="B119" s="156">
        <v>-449511</v>
      </c>
      <c r="C119" s="244">
        <v>237573</v>
      </c>
      <c r="D119" s="244">
        <v>220174</v>
      </c>
      <c r="E119" s="156">
        <v>192894</v>
      </c>
      <c r="F119" s="156">
        <v>-471640</v>
      </c>
      <c r="G119" s="244">
        <v>313745</v>
      </c>
      <c r="H119" s="244">
        <v>26159</v>
      </c>
      <c r="I119" s="156">
        <v>-78299</v>
      </c>
      <c r="J119" s="156">
        <v>-245837</v>
      </c>
      <c r="K119" s="244">
        <v>57444</v>
      </c>
      <c r="L119" s="244">
        <v>95041</v>
      </c>
      <c r="M119" s="244">
        <v>353898</v>
      </c>
      <c r="N119" s="156">
        <v>-518316</v>
      </c>
      <c r="O119" s="244">
        <v>147285</v>
      </c>
      <c r="P119" s="244">
        <v>275382</v>
      </c>
      <c r="Q119" s="244">
        <v>650206</v>
      </c>
      <c r="R119" s="156">
        <v>-675084</v>
      </c>
      <c r="S119" s="156">
        <v>-240652</v>
      </c>
      <c r="T119" s="244">
        <v>231257</v>
      </c>
      <c r="U119" s="244">
        <v>389016</v>
      </c>
      <c r="V119" s="156">
        <v>-568470</v>
      </c>
      <c r="W119" s="244">
        <v>63222</v>
      </c>
      <c r="X119" s="244">
        <v>192815</v>
      </c>
      <c r="Y119" s="244">
        <v>454276</v>
      </c>
      <c r="Z119" s="156">
        <v>-492012</v>
      </c>
      <c r="AA119" s="156">
        <v>-20064</v>
      </c>
      <c r="AB119" s="244">
        <v>284712</v>
      </c>
      <c r="AD119" s="245"/>
    </row>
    <row r="120" spans="1:30" x14ac:dyDescent="0.25">
      <c r="A120" s="215" t="s">
        <v>286</v>
      </c>
      <c r="B120" s="156">
        <v>-48810</v>
      </c>
      <c r="C120" s="156">
        <v>-28878</v>
      </c>
      <c r="D120" s="156">
        <v>-54653</v>
      </c>
      <c r="E120" s="156">
        <v>-106059</v>
      </c>
      <c r="F120" s="156">
        <v>-90710</v>
      </c>
      <c r="G120" s="244">
        <v>39404</v>
      </c>
      <c r="H120" s="156">
        <v>-21030</v>
      </c>
      <c r="I120" s="156">
        <v>-39593</v>
      </c>
      <c r="J120" s="156">
        <v>-88134</v>
      </c>
      <c r="K120" s="156">
        <v>-127916</v>
      </c>
      <c r="L120" s="156">
        <v>-10634</v>
      </c>
      <c r="M120" s="156">
        <v>-102161</v>
      </c>
      <c r="N120" s="156">
        <v>-205615</v>
      </c>
      <c r="O120" s="156">
        <v>-54851</v>
      </c>
      <c r="P120" s="156">
        <v>-51690</v>
      </c>
      <c r="Q120" s="156">
        <v>-154481</v>
      </c>
      <c r="R120" s="156">
        <v>-127327</v>
      </c>
      <c r="S120" s="156">
        <v>-68830</v>
      </c>
      <c r="T120" s="156">
        <v>-31016</v>
      </c>
      <c r="U120" s="156">
        <v>-81220</v>
      </c>
      <c r="V120" s="156">
        <v>-2600</v>
      </c>
      <c r="W120" s="156">
        <v>-68601</v>
      </c>
      <c r="X120" s="244">
        <v>604</v>
      </c>
      <c r="Y120" s="156">
        <v>-41119</v>
      </c>
      <c r="Z120" s="156">
        <v>-218706</v>
      </c>
      <c r="AA120" s="156">
        <v>-681</v>
      </c>
      <c r="AB120" s="156">
        <v>-58291</v>
      </c>
    </row>
    <row r="121" spans="1:30" x14ac:dyDescent="0.25">
      <c r="A121" s="215" t="s">
        <v>134</v>
      </c>
      <c r="B121" s="156">
        <v>-7991</v>
      </c>
      <c r="C121" s="244">
        <v>8009</v>
      </c>
      <c r="D121" s="244">
        <v>16</v>
      </c>
      <c r="E121" s="244">
        <v>376</v>
      </c>
      <c r="F121" s="244">
        <v>4</v>
      </c>
      <c r="G121" s="156">
        <v>-83</v>
      </c>
      <c r="H121" s="156">
        <v>-153</v>
      </c>
      <c r="I121" s="156">
        <v>-1008</v>
      </c>
      <c r="J121" s="244">
        <v>37</v>
      </c>
      <c r="K121" s="244">
        <v>172</v>
      </c>
      <c r="L121" s="244">
        <v>185</v>
      </c>
      <c r="M121" s="156">
        <v>-1084</v>
      </c>
      <c r="N121" s="156">
        <v>-386</v>
      </c>
      <c r="O121" s="156">
        <v>-575</v>
      </c>
      <c r="P121" s="156">
        <v>-1381</v>
      </c>
      <c r="Q121" s="156">
        <v>-4436</v>
      </c>
      <c r="R121" s="156">
        <v>-204</v>
      </c>
      <c r="S121" s="156">
        <v>-384</v>
      </c>
      <c r="T121" s="156">
        <v>-148</v>
      </c>
      <c r="U121" s="156">
        <v>-194</v>
      </c>
      <c r="V121" s="149">
        <v>0</v>
      </c>
      <c r="W121" s="149">
        <v>0</v>
      </c>
      <c r="X121" s="244">
        <v>18</v>
      </c>
      <c r="Y121" s="156">
        <v>-11901</v>
      </c>
      <c r="Z121" s="156">
        <v>-1090</v>
      </c>
      <c r="AA121" s="156">
        <v>-425</v>
      </c>
      <c r="AB121" s="156">
        <v>-281</v>
      </c>
    </row>
    <row r="122" spans="1:30" s="183" customFormat="1" x14ac:dyDescent="0.25">
      <c r="A122" s="147" t="s">
        <v>287</v>
      </c>
      <c r="B122" s="279">
        <v>210575</v>
      </c>
      <c r="C122" s="279">
        <v>880312</v>
      </c>
      <c r="D122" s="279">
        <v>834017</v>
      </c>
      <c r="E122" s="279">
        <v>595441</v>
      </c>
      <c r="F122" s="279">
        <v>37740</v>
      </c>
      <c r="G122" s="279">
        <v>1025145</v>
      </c>
      <c r="H122" s="279">
        <v>716980</v>
      </c>
      <c r="I122" s="279">
        <v>429061</v>
      </c>
      <c r="J122" s="279">
        <v>254483</v>
      </c>
      <c r="K122" s="279">
        <v>1059012</v>
      </c>
      <c r="L122" s="279">
        <v>1354043</v>
      </c>
      <c r="M122" s="279">
        <v>811513</v>
      </c>
      <c r="N122" s="279">
        <v>660531</v>
      </c>
      <c r="O122" s="279">
        <v>1179936</v>
      </c>
      <c r="P122" s="279">
        <v>1521756</v>
      </c>
      <c r="Q122" s="279">
        <v>685327</v>
      </c>
      <c r="R122" s="279">
        <v>106243</v>
      </c>
      <c r="S122" s="279">
        <v>891430</v>
      </c>
      <c r="T122" s="279">
        <v>943128</v>
      </c>
      <c r="U122" s="279">
        <v>677106</v>
      </c>
      <c r="V122" s="279">
        <v>681859</v>
      </c>
      <c r="W122" s="279">
        <v>939201</v>
      </c>
      <c r="X122" s="279">
        <v>1162032</v>
      </c>
      <c r="Y122" s="279">
        <v>604366</v>
      </c>
      <c r="Z122" s="279">
        <v>465534</v>
      </c>
      <c r="AA122" s="279">
        <v>951637</v>
      </c>
      <c r="AB122" s="279">
        <v>988183</v>
      </c>
      <c r="AC122" s="144"/>
    </row>
    <row r="123" spans="1:30" x14ac:dyDescent="0.25">
      <c r="A123" s="183" t="s">
        <v>288</v>
      </c>
      <c r="B123" s="156"/>
      <c r="C123" s="156"/>
      <c r="D123" s="156"/>
      <c r="E123" s="156"/>
      <c r="F123" s="156"/>
      <c r="G123" s="156"/>
      <c r="H123" s="156"/>
      <c r="I123" s="156"/>
      <c r="J123" s="156"/>
      <c r="K123" s="156"/>
      <c r="L123" s="156"/>
      <c r="M123" s="156"/>
      <c r="N123" s="156"/>
      <c r="O123" s="156"/>
      <c r="P123" s="156"/>
      <c r="T123" s="244"/>
      <c r="U123" s="245"/>
      <c r="V123" s="245"/>
      <c r="W123" s="245"/>
      <c r="X123" s="245"/>
      <c r="Y123" s="245"/>
      <c r="Z123" s="245"/>
      <c r="AA123" s="245"/>
    </row>
    <row r="124" spans="1:30" x14ac:dyDescent="0.25">
      <c r="A124" s="215" t="s">
        <v>293</v>
      </c>
      <c r="B124" s="244">
        <v>1599</v>
      </c>
      <c r="C124" s="244">
        <v>1548</v>
      </c>
      <c r="D124" s="244">
        <v>5193</v>
      </c>
      <c r="E124" s="244">
        <v>3391</v>
      </c>
      <c r="F124" s="244">
        <v>10399</v>
      </c>
      <c r="G124" s="244">
        <v>9387</v>
      </c>
      <c r="H124" s="244">
        <v>15275</v>
      </c>
      <c r="I124" s="244">
        <v>4896</v>
      </c>
      <c r="J124" s="244">
        <v>2909</v>
      </c>
      <c r="K124" s="244">
        <v>3801</v>
      </c>
      <c r="L124" s="244">
        <v>2424</v>
      </c>
      <c r="M124" s="244">
        <v>41058</v>
      </c>
      <c r="N124" s="244">
        <v>4929</v>
      </c>
      <c r="O124" s="244">
        <v>5030</v>
      </c>
      <c r="P124" s="244">
        <v>7687</v>
      </c>
      <c r="Q124" s="244">
        <v>12139</v>
      </c>
      <c r="R124" s="244">
        <v>23411</v>
      </c>
      <c r="S124" s="244">
        <v>6884</v>
      </c>
      <c r="T124" s="244">
        <v>7843</v>
      </c>
      <c r="U124" s="244">
        <v>9662</v>
      </c>
      <c r="V124" s="244">
        <v>7465</v>
      </c>
      <c r="W124" s="244">
        <v>11914</v>
      </c>
      <c r="X124" s="244">
        <v>3132</v>
      </c>
      <c r="Y124" s="244">
        <v>14043</v>
      </c>
      <c r="Z124" s="244">
        <v>5442</v>
      </c>
      <c r="AA124" s="244">
        <v>9961</v>
      </c>
      <c r="AB124" s="244">
        <v>8433</v>
      </c>
      <c r="AC124" s="242"/>
    </row>
    <row r="125" spans="1:30" x14ac:dyDescent="0.25">
      <c r="A125" s="215" t="s">
        <v>289</v>
      </c>
      <c r="B125" s="156">
        <v>-318329</v>
      </c>
      <c r="C125" s="156">
        <v>-372182</v>
      </c>
      <c r="D125" s="156">
        <v>-347683</v>
      </c>
      <c r="E125" s="156">
        <v>-479894</v>
      </c>
      <c r="F125" s="156">
        <v>-509788</v>
      </c>
      <c r="G125" s="156">
        <v>-423043</v>
      </c>
      <c r="H125" s="156">
        <v>-585815</v>
      </c>
      <c r="I125" s="156">
        <v>-783624</v>
      </c>
      <c r="J125" s="156">
        <v>-968722</v>
      </c>
      <c r="K125" s="156">
        <v>-644899</v>
      </c>
      <c r="L125" s="156">
        <v>-820865</v>
      </c>
      <c r="M125" s="156">
        <v>-867985</v>
      </c>
      <c r="N125" s="156">
        <v>-1141405</v>
      </c>
      <c r="O125" s="156">
        <v>-704809</v>
      </c>
      <c r="P125" s="156">
        <v>-1022375</v>
      </c>
      <c r="Q125" s="156">
        <v>-1065084</v>
      </c>
      <c r="R125" s="156">
        <v>-919039</v>
      </c>
      <c r="S125" s="156">
        <v>-822975</v>
      </c>
      <c r="T125" s="156">
        <v>-731006</v>
      </c>
      <c r="U125" s="245">
        <v>-991558</v>
      </c>
      <c r="V125" s="156">
        <v>-900356</v>
      </c>
      <c r="W125" s="156">
        <v>-949754</v>
      </c>
      <c r="X125" s="156">
        <v>-975718</v>
      </c>
      <c r="Y125" s="156">
        <v>-1147682</v>
      </c>
      <c r="Z125" s="156">
        <v>-993936</v>
      </c>
      <c r="AA125" s="156">
        <v>-775694</v>
      </c>
      <c r="AB125" s="156">
        <v>-859593</v>
      </c>
      <c r="AC125" s="242"/>
    </row>
    <row r="126" spans="1:30" x14ac:dyDescent="0.25">
      <c r="A126" s="215" t="s">
        <v>446</v>
      </c>
      <c r="B126" s="149">
        <v>0</v>
      </c>
      <c r="C126" s="149">
        <v>0</v>
      </c>
      <c r="D126" s="149">
        <v>0</v>
      </c>
      <c r="E126" s="149">
        <v>0</v>
      </c>
      <c r="F126" s="149">
        <v>0</v>
      </c>
      <c r="G126" s="149">
        <v>0</v>
      </c>
      <c r="H126" s="149">
        <v>0</v>
      </c>
      <c r="I126" s="244">
        <v>1493</v>
      </c>
      <c r="J126" s="244">
        <v>99507</v>
      </c>
      <c r="K126" s="244">
        <v>2999</v>
      </c>
      <c r="L126" s="149">
        <v>0</v>
      </c>
      <c r="M126" s="149">
        <v>0</v>
      </c>
      <c r="N126" s="149">
        <v>0</v>
      </c>
      <c r="O126" s="149">
        <v>0</v>
      </c>
      <c r="P126" s="149">
        <v>0</v>
      </c>
      <c r="Q126" s="149">
        <v>0</v>
      </c>
      <c r="R126" s="149">
        <v>0</v>
      </c>
      <c r="S126" s="149">
        <v>0</v>
      </c>
      <c r="T126" s="149">
        <v>0</v>
      </c>
      <c r="U126" s="149">
        <v>0</v>
      </c>
      <c r="V126" s="282">
        <v>0</v>
      </c>
      <c r="W126" s="244">
        <v>21732</v>
      </c>
      <c r="X126" s="282">
        <v>0</v>
      </c>
      <c r="Y126" s="282">
        <v>0</v>
      </c>
      <c r="Z126" s="282">
        <v>0</v>
      </c>
      <c r="AA126" s="282">
        <v>0</v>
      </c>
      <c r="AB126" s="282">
        <v>0</v>
      </c>
      <c r="AC126" s="242"/>
    </row>
    <row r="127" spans="1:30" x14ac:dyDescent="0.25">
      <c r="A127" s="215" t="s">
        <v>447</v>
      </c>
      <c r="B127" s="244">
        <v>4496</v>
      </c>
      <c r="C127" s="244">
        <v>3324</v>
      </c>
      <c r="D127" s="244">
        <v>27105</v>
      </c>
      <c r="E127" s="244">
        <v>21264</v>
      </c>
      <c r="F127" s="244">
        <v>9125</v>
      </c>
      <c r="G127" s="244">
        <v>15940</v>
      </c>
      <c r="H127" s="244">
        <v>672</v>
      </c>
      <c r="I127" s="244">
        <v>87074</v>
      </c>
      <c r="J127" s="244">
        <v>6919</v>
      </c>
      <c r="K127" s="244">
        <v>341</v>
      </c>
      <c r="L127" s="244">
        <v>13533</v>
      </c>
      <c r="M127" s="244">
        <v>1218</v>
      </c>
      <c r="N127" s="244">
        <v>0</v>
      </c>
      <c r="O127" s="244">
        <v>760</v>
      </c>
      <c r="P127" s="244">
        <v>629</v>
      </c>
      <c r="Q127" s="244">
        <v>2848</v>
      </c>
      <c r="R127" s="244">
        <v>84</v>
      </c>
      <c r="S127" s="244">
        <v>1188</v>
      </c>
      <c r="T127" s="244">
        <v>580</v>
      </c>
      <c r="U127" s="244">
        <v>36412</v>
      </c>
      <c r="V127" s="244">
        <v>1109</v>
      </c>
      <c r="W127" s="244">
        <f>22540-21732</f>
        <v>808</v>
      </c>
      <c r="X127" s="244">
        <v>580</v>
      </c>
      <c r="Y127" s="244">
        <v>580</v>
      </c>
      <c r="Z127" s="244">
        <v>580</v>
      </c>
      <c r="AA127" s="244">
        <v>10537</v>
      </c>
      <c r="AB127" s="244">
        <v>4532</v>
      </c>
      <c r="AC127" s="242"/>
    </row>
    <row r="128" spans="1:30" x14ac:dyDescent="0.25">
      <c r="A128" s="215" t="s">
        <v>448</v>
      </c>
      <c r="B128" s="149">
        <v>0</v>
      </c>
      <c r="C128" s="149">
        <v>0</v>
      </c>
      <c r="D128" s="149">
        <v>0</v>
      </c>
      <c r="E128" s="149">
        <v>0</v>
      </c>
      <c r="F128" s="149">
        <v>0</v>
      </c>
      <c r="G128" s="149">
        <v>0</v>
      </c>
      <c r="H128" s="149">
        <v>0</v>
      </c>
      <c r="I128" s="149">
        <v>0</v>
      </c>
      <c r="J128" s="149">
        <v>0</v>
      </c>
      <c r="K128" s="149">
        <v>0</v>
      </c>
      <c r="L128" s="149">
        <v>0</v>
      </c>
      <c r="M128" s="149">
        <v>0</v>
      </c>
      <c r="N128" s="149">
        <v>0</v>
      </c>
      <c r="O128" s="149">
        <v>0</v>
      </c>
      <c r="P128" s="149">
        <v>0</v>
      </c>
      <c r="Q128" s="156">
        <v>-232500</v>
      </c>
      <c r="R128" s="149">
        <v>0</v>
      </c>
      <c r="S128" s="149">
        <v>0</v>
      </c>
      <c r="T128" s="149">
        <v>0</v>
      </c>
      <c r="U128" s="149">
        <v>0</v>
      </c>
      <c r="V128" s="282">
        <v>0</v>
      </c>
      <c r="W128" s="282">
        <v>0</v>
      </c>
      <c r="X128" s="282">
        <v>0</v>
      </c>
      <c r="Y128" s="282">
        <v>0</v>
      </c>
      <c r="Z128" s="282">
        <v>0</v>
      </c>
      <c r="AA128" s="282">
        <v>0</v>
      </c>
      <c r="AB128" s="282">
        <v>0</v>
      </c>
      <c r="AC128" s="242"/>
    </row>
    <row r="129" spans="1:30" x14ac:dyDescent="0.25">
      <c r="A129" s="215" t="s">
        <v>449</v>
      </c>
      <c r="B129" s="156">
        <v>-85581</v>
      </c>
      <c r="C129" s="244">
        <v>35425</v>
      </c>
      <c r="D129" s="156">
        <v>-46519</v>
      </c>
      <c r="E129" s="244">
        <v>27105</v>
      </c>
      <c r="F129" s="156">
        <v>-14529</v>
      </c>
      <c r="G129" s="156">
        <v>-105</v>
      </c>
      <c r="H129" s="244">
        <v>75</v>
      </c>
      <c r="I129" s="156">
        <v>-133430</v>
      </c>
      <c r="J129" s="156">
        <v>-2722</v>
      </c>
      <c r="K129" s="156">
        <v>-5674</v>
      </c>
      <c r="L129" s="156">
        <v>-1689</v>
      </c>
      <c r="M129" s="156">
        <v>-378</v>
      </c>
      <c r="N129" s="156">
        <v>-3406</v>
      </c>
      <c r="O129" s="156">
        <v>-840</v>
      </c>
      <c r="P129" s="156">
        <v>-153</v>
      </c>
      <c r="Q129" s="156">
        <v>-521</v>
      </c>
      <c r="R129" s="156">
        <v>-4109</v>
      </c>
      <c r="S129" s="156">
        <v>-291</v>
      </c>
      <c r="T129" s="156">
        <v>-1879</v>
      </c>
      <c r="U129" s="245">
        <v>-405</v>
      </c>
      <c r="V129" s="156">
        <v>-5332</v>
      </c>
      <c r="W129" s="156">
        <v>-16402</v>
      </c>
      <c r="X129" s="156">
        <v>-7266</v>
      </c>
      <c r="Y129" s="156">
        <v>-67</v>
      </c>
      <c r="Z129" s="156">
        <v>-1690</v>
      </c>
      <c r="AA129" s="156">
        <v>-27844</v>
      </c>
      <c r="AB129" s="156">
        <v>-1138</v>
      </c>
      <c r="AC129" s="242"/>
    </row>
    <row r="130" spans="1:30" x14ac:dyDescent="0.25">
      <c r="A130" s="215" t="s">
        <v>450</v>
      </c>
      <c r="B130" s="156">
        <v>-500</v>
      </c>
      <c r="C130" s="244">
        <v>500</v>
      </c>
      <c r="D130" s="149">
        <v>0</v>
      </c>
      <c r="E130" s="156">
        <v>-1000</v>
      </c>
      <c r="F130" s="156">
        <v>-13000</v>
      </c>
      <c r="G130" s="149">
        <v>0</v>
      </c>
      <c r="H130" s="156">
        <v>-10000</v>
      </c>
      <c r="I130" s="149">
        <v>0</v>
      </c>
      <c r="J130" s="273">
        <v>0</v>
      </c>
      <c r="K130" s="273">
        <v>0</v>
      </c>
      <c r="L130" s="273">
        <v>0</v>
      </c>
      <c r="M130" s="156">
        <v>-32576</v>
      </c>
      <c r="N130" s="273">
        <v>0</v>
      </c>
      <c r="O130" s="149">
        <v>0</v>
      </c>
      <c r="P130" s="149">
        <v>0</v>
      </c>
      <c r="Q130" s="149">
        <v>0</v>
      </c>
      <c r="R130" s="149">
        <v>0</v>
      </c>
      <c r="S130" s="149">
        <v>0</v>
      </c>
      <c r="T130" s="149">
        <v>0</v>
      </c>
      <c r="U130" s="149">
        <v>0</v>
      </c>
      <c r="V130" s="282">
        <v>0</v>
      </c>
      <c r="W130" s="282">
        <v>0</v>
      </c>
      <c r="X130" s="282">
        <v>0</v>
      </c>
      <c r="Y130" s="282">
        <v>0</v>
      </c>
      <c r="Z130" s="282">
        <v>0</v>
      </c>
      <c r="AA130" s="282">
        <v>0</v>
      </c>
      <c r="AB130" s="282">
        <v>0</v>
      </c>
      <c r="AC130" s="242"/>
    </row>
    <row r="131" spans="1:30" x14ac:dyDescent="0.25">
      <c r="A131" s="215" t="s">
        <v>451</v>
      </c>
      <c r="B131" s="149">
        <v>0</v>
      </c>
      <c r="C131" s="149">
        <v>0</v>
      </c>
      <c r="D131" s="149">
        <v>0</v>
      </c>
      <c r="E131" s="244">
        <v>23</v>
      </c>
      <c r="F131" s="149">
        <v>0</v>
      </c>
      <c r="G131" s="149">
        <v>0</v>
      </c>
      <c r="H131" s="156">
        <v>-71439</v>
      </c>
      <c r="I131" s="156">
        <v>-3308176</v>
      </c>
      <c r="J131" s="156">
        <v>-5500</v>
      </c>
      <c r="K131" s="156">
        <v>-113</v>
      </c>
      <c r="L131" s="149">
        <v>0</v>
      </c>
      <c r="M131" s="149">
        <v>0</v>
      </c>
      <c r="N131" s="273">
        <v>0</v>
      </c>
      <c r="O131" s="149">
        <v>0</v>
      </c>
      <c r="P131" s="149">
        <v>0</v>
      </c>
      <c r="Q131" s="149">
        <v>0</v>
      </c>
      <c r="R131" s="149">
        <v>0</v>
      </c>
      <c r="S131" s="149">
        <v>0</v>
      </c>
      <c r="T131" s="149">
        <v>0</v>
      </c>
      <c r="U131" s="149">
        <v>0</v>
      </c>
      <c r="V131" s="282">
        <v>0</v>
      </c>
      <c r="W131" s="282">
        <v>0</v>
      </c>
      <c r="X131" s="282">
        <v>0</v>
      </c>
      <c r="Y131" s="282">
        <v>0</v>
      </c>
      <c r="Z131" s="282">
        <v>0</v>
      </c>
      <c r="AA131" s="282">
        <v>0</v>
      </c>
      <c r="AB131" s="282">
        <v>0</v>
      </c>
      <c r="AC131" s="242"/>
    </row>
    <row r="132" spans="1:30" x14ac:dyDescent="0.25">
      <c r="A132" s="215" t="s">
        <v>452</v>
      </c>
      <c r="B132" s="149">
        <v>0</v>
      </c>
      <c r="C132" s="244">
        <v>2198</v>
      </c>
      <c r="D132" s="244">
        <v>1574</v>
      </c>
      <c r="E132" s="244">
        <v>577</v>
      </c>
      <c r="F132" s="149">
        <v>0</v>
      </c>
      <c r="G132" s="244">
        <v>6358</v>
      </c>
      <c r="H132" s="244">
        <v>1764</v>
      </c>
      <c r="I132" s="244">
        <v>51</v>
      </c>
      <c r="J132" s="149">
        <v>0</v>
      </c>
      <c r="K132" s="244">
        <v>1485</v>
      </c>
      <c r="L132" s="244">
        <v>6820</v>
      </c>
      <c r="M132" s="244">
        <v>44</v>
      </c>
      <c r="N132" s="244">
        <v>5514</v>
      </c>
      <c r="O132" s="244">
        <v>1882</v>
      </c>
      <c r="P132" s="244">
        <v>10895</v>
      </c>
      <c r="Q132" s="244">
        <v>32</v>
      </c>
      <c r="R132" s="244">
        <v>146</v>
      </c>
      <c r="S132" s="244">
        <v>1950</v>
      </c>
      <c r="T132" s="244">
        <v>1670</v>
      </c>
      <c r="U132" s="244">
        <v>165</v>
      </c>
      <c r="V132" s="282">
        <v>0</v>
      </c>
      <c r="W132" s="244">
        <v>3585</v>
      </c>
      <c r="X132" s="244">
        <v>1099</v>
      </c>
      <c r="Y132" s="282">
        <v>0</v>
      </c>
      <c r="Z132" s="282">
        <v>0</v>
      </c>
      <c r="AA132" s="244">
        <v>6592</v>
      </c>
      <c r="AB132" s="244">
        <v>24428</v>
      </c>
      <c r="AC132" s="242"/>
    </row>
    <row r="133" spans="1:30" x14ac:dyDescent="0.25">
      <c r="A133" s="215" t="s">
        <v>453</v>
      </c>
      <c r="B133" s="244">
        <v>134</v>
      </c>
      <c r="C133" s="244">
        <v>28</v>
      </c>
      <c r="D133" s="244">
        <v>246</v>
      </c>
      <c r="E133" s="244">
        <v>969</v>
      </c>
      <c r="F133" s="149">
        <v>0</v>
      </c>
      <c r="G133" s="244">
        <v>27</v>
      </c>
      <c r="H133" s="156">
        <v>-27</v>
      </c>
      <c r="I133" s="244">
        <v>666</v>
      </c>
      <c r="J133" s="149">
        <v>0</v>
      </c>
      <c r="K133" s="244">
        <v>1</v>
      </c>
      <c r="L133" s="244">
        <v>135</v>
      </c>
      <c r="M133" s="149">
        <v>0</v>
      </c>
      <c r="N133" s="244">
        <v>457</v>
      </c>
      <c r="O133" s="156">
        <v>-401</v>
      </c>
      <c r="P133" s="156">
        <v>-16</v>
      </c>
      <c r="Q133" s="149">
        <v>0</v>
      </c>
      <c r="R133" s="244">
        <v>11</v>
      </c>
      <c r="S133" s="244">
        <v>458</v>
      </c>
      <c r="T133" s="244">
        <v>72</v>
      </c>
      <c r="U133" s="244">
        <v>527</v>
      </c>
      <c r="V133" s="244">
        <v>5281</v>
      </c>
      <c r="W133" s="244">
        <v>339</v>
      </c>
      <c r="X133" s="244">
        <v>88</v>
      </c>
      <c r="Y133" s="244">
        <v>300</v>
      </c>
      <c r="Z133" s="244">
        <v>81</v>
      </c>
      <c r="AA133" s="244">
        <v>276</v>
      </c>
      <c r="AB133" s="244">
        <v>82</v>
      </c>
      <c r="AC133" s="242"/>
      <c r="AD133" s="242"/>
    </row>
    <row r="134" spans="1:30" x14ac:dyDescent="0.25">
      <c r="A134" s="215" t="s">
        <v>294</v>
      </c>
      <c r="B134" s="149">
        <v>0</v>
      </c>
      <c r="C134" s="244">
        <v>30</v>
      </c>
      <c r="D134" s="244">
        <v>15</v>
      </c>
      <c r="E134" s="244">
        <v>1430</v>
      </c>
      <c r="F134" s="149">
        <v>0</v>
      </c>
      <c r="G134" s="244">
        <v>25</v>
      </c>
      <c r="H134" s="244">
        <v>85</v>
      </c>
      <c r="I134" s="244">
        <v>130</v>
      </c>
      <c r="J134" s="149">
        <v>0</v>
      </c>
      <c r="K134" s="149">
        <v>0</v>
      </c>
      <c r="L134" s="244">
        <v>13000</v>
      </c>
      <c r="M134" s="244">
        <v>11500</v>
      </c>
      <c r="N134" s="244">
        <v>5850</v>
      </c>
      <c r="O134" s="244">
        <v>11700</v>
      </c>
      <c r="P134" s="244">
        <v>29250</v>
      </c>
      <c r="Q134" s="149">
        <v>0</v>
      </c>
      <c r="R134" s="149">
        <v>0</v>
      </c>
      <c r="S134" s="244">
        <v>5850</v>
      </c>
      <c r="T134" s="149">
        <v>0</v>
      </c>
      <c r="U134" s="244">
        <v>5850</v>
      </c>
      <c r="V134" s="244">
        <v>12200</v>
      </c>
      <c r="W134" s="244">
        <v>2300</v>
      </c>
      <c r="X134" s="282">
        <v>0</v>
      </c>
      <c r="Y134" s="282">
        <v>0</v>
      </c>
      <c r="Z134" s="282">
        <v>0</v>
      </c>
      <c r="AA134" s="282">
        <v>0</v>
      </c>
      <c r="AB134" s="282">
        <v>0</v>
      </c>
      <c r="AC134" s="242"/>
    </row>
    <row r="135" spans="1:30" x14ac:dyDescent="0.25">
      <c r="A135" s="215" t="s">
        <v>291</v>
      </c>
      <c r="B135" s="149">
        <v>0</v>
      </c>
      <c r="C135" s="156">
        <v>-9000</v>
      </c>
      <c r="D135" s="149">
        <v>0</v>
      </c>
      <c r="E135" s="244">
        <v>7600</v>
      </c>
      <c r="F135" s="244">
        <v>15</v>
      </c>
      <c r="G135" s="156">
        <v>-15</v>
      </c>
      <c r="H135" s="244">
        <v>44</v>
      </c>
      <c r="I135" s="156">
        <v>-44</v>
      </c>
      <c r="J135" s="149">
        <v>0</v>
      </c>
      <c r="K135" s="156">
        <v>-75000</v>
      </c>
      <c r="L135" s="149">
        <v>0</v>
      </c>
      <c r="M135" s="156">
        <v>-64500</v>
      </c>
      <c r="N135" s="156">
        <v>-38850</v>
      </c>
      <c r="O135" s="156">
        <v>-40700</v>
      </c>
      <c r="P135" s="156">
        <v>-29250</v>
      </c>
      <c r="Q135" s="149">
        <v>0</v>
      </c>
      <c r="R135" s="156">
        <v>-5850</v>
      </c>
      <c r="S135" s="149">
        <v>0</v>
      </c>
      <c r="T135" s="156">
        <v>-5850</v>
      </c>
      <c r="U135" s="245">
        <v>-6350</v>
      </c>
      <c r="V135" s="156">
        <v>-8150</v>
      </c>
      <c r="W135" s="149">
        <v>0</v>
      </c>
      <c r="X135" s="149">
        <v>0</v>
      </c>
      <c r="Y135" s="156">
        <v>-17950</v>
      </c>
      <c r="Z135" s="156">
        <v>-6000</v>
      </c>
      <c r="AA135" s="156">
        <v>-1600</v>
      </c>
      <c r="AB135" s="156">
        <v>-3175</v>
      </c>
      <c r="AC135" s="242"/>
    </row>
    <row r="136" spans="1:30" x14ac:dyDescent="0.25">
      <c r="A136" s="215" t="s">
        <v>134</v>
      </c>
      <c r="B136" s="244">
        <v>8</v>
      </c>
      <c r="C136" s="244">
        <v>2964</v>
      </c>
      <c r="D136" s="244">
        <v>3801</v>
      </c>
      <c r="E136" s="156">
        <v>-335</v>
      </c>
      <c r="F136" s="156">
        <v>-1</v>
      </c>
      <c r="G136" s="244">
        <v>1</v>
      </c>
      <c r="H136" s="156">
        <v>-120001</v>
      </c>
      <c r="I136" s="244">
        <v>120001</v>
      </c>
      <c r="J136" s="149">
        <v>0</v>
      </c>
      <c r="K136" s="149">
        <v>0</v>
      </c>
      <c r="L136" s="149">
        <v>0</v>
      </c>
      <c r="M136" s="149">
        <v>0</v>
      </c>
      <c r="N136" s="244">
        <v>2</v>
      </c>
      <c r="O136" s="244">
        <v>2</v>
      </c>
      <c r="P136" s="156">
        <v>-2</v>
      </c>
      <c r="Q136" s="244">
        <v>218</v>
      </c>
      <c r="R136" s="149">
        <v>0</v>
      </c>
      <c r="S136" s="149">
        <v>0</v>
      </c>
      <c r="T136" s="149">
        <v>0</v>
      </c>
      <c r="U136" s="245">
        <v>-184</v>
      </c>
      <c r="V136" s="149">
        <v>0</v>
      </c>
      <c r="W136" s="149">
        <v>0</v>
      </c>
      <c r="X136" s="149">
        <v>0</v>
      </c>
      <c r="Y136" s="149">
        <v>0</v>
      </c>
      <c r="Z136" s="149">
        <v>0</v>
      </c>
      <c r="AA136" s="156">
        <v>-131077</v>
      </c>
      <c r="AB136" s="149">
        <v>0</v>
      </c>
      <c r="AC136" s="242"/>
    </row>
    <row r="137" spans="1:30" s="183" customFormat="1" x14ac:dyDescent="0.25">
      <c r="A137" s="147" t="s">
        <v>297</v>
      </c>
      <c r="B137" s="279">
        <v>-398173</v>
      </c>
      <c r="C137" s="279">
        <v>-335165</v>
      </c>
      <c r="D137" s="279">
        <v>-356268</v>
      </c>
      <c r="E137" s="279">
        <v>-418870</v>
      </c>
      <c r="F137" s="279">
        <v>-517779</v>
      </c>
      <c r="G137" s="279">
        <v>-391425</v>
      </c>
      <c r="H137" s="279">
        <v>-769367</v>
      </c>
      <c r="I137" s="279">
        <v>-4010963</v>
      </c>
      <c r="J137" s="279">
        <v>-867609</v>
      </c>
      <c r="K137" s="279">
        <v>-717059</v>
      </c>
      <c r="L137" s="279">
        <v>-786642</v>
      </c>
      <c r="M137" s="279">
        <v>-911619</v>
      </c>
      <c r="N137" s="279">
        <v>-1166909</v>
      </c>
      <c r="O137" s="279">
        <v>-727376</v>
      </c>
      <c r="P137" s="279">
        <v>-1003335</v>
      </c>
      <c r="Q137" s="279">
        <v>-1282868</v>
      </c>
      <c r="R137" s="279">
        <v>-905346</v>
      </c>
      <c r="S137" s="279">
        <v>-806936</v>
      </c>
      <c r="T137" s="279">
        <v>-728570</v>
      </c>
      <c r="U137" s="279">
        <v>-945881</v>
      </c>
      <c r="V137" s="279">
        <v>-887783</v>
      </c>
      <c r="W137" s="279">
        <v>-925478</v>
      </c>
      <c r="X137" s="279">
        <v>-978085</v>
      </c>
      <c r="Y137" s="279">
        <v>-1150776</v>
      </c>
      <c r="Z137" s="279">
        <v>-995523</v>
      </c>
      <c r="AA137" s="279">
        <v>-908849</v>
      </c>
      <c r="AB137" s="279">
        <v>-826431</v>
      </c>
      <c r="AC137" s="242"/>
    </row>
    <row r="138" spans="1:30" x14ac:dyDescent="0.25">
      <c r="A138" s="183" t="s">
        <v>298</v>
      </c>
      <c r="B138" s="156"/>
      <c r="C138" s="156"/>
      <c r="D138" s="156"/>
      <c r="E138" s="156"/>
      <c r="F138" s="156"/>
      <c r="G138" s="156"/>
      <c r="H138" s="156"/>
      <c r="I138" s="156"/>
      <c r="J138" s="156"/>
      <c r="K138" s="156"/>
      <c r="L138" s="156"/>
      <c r="M138" s="156"/>
      <c r="N138" s="156"/>
      <c r="O138" s="156"/>
      <c r="P138" s="156"/>
      <c r="T138" s="244"/>
      <c r="U138" s="245"/>
      <c r="V138" s="245"/>
      <c r="W138" s="245"/>
      <c r="X138" s="245"/>
      <c r="Y138" s="245"/>
      <c r="Z138" s="245"/>
      <c r="AA138" s="245"/>
      <c r="AB138" s="245"/>
    </row>
    <row r="139" spans="1:30" x14ac:dyDescent="0.25">
      <c r="A139" s="215" t="s">
        <v>454</v>
      </c>
      <c r="B139" s="156">
        <v>-10386</v>
      </c>
      <c r="C139" s="156">
        <v>-8182</v>
      </c>
      <c r="D139" s="156">
        <v>-7547</v>
      </c>
      <c r="E139" s="156">
        <v>-9727</v>
      </c>
      <c r="F139" s="156">
        <v>-9894</v>
      </c>
      <c r="G139" s="156">
        <v>-5026</v>
      </c>
      <c r="H139" s="156">
        <v>-3795</v>
      </c>
      <c r="I139" s="156">
        <v>-6888</v>
      </c>
      <c r="J139" s="156">
        <v>-4952</v>
      </c>
      <c r="K139" s="156">
        <v>-2901</v>
      </c>
      <c r="L139" s="156">
        <v>-2696</v>
      </c>
      <c r="M139" s="156">
        <v>-4285</v>
      </c>
      <c r="N139" s="156">
        <v>-4752</v>
      </c>
      <c r="O139" s="156">
        <v>-2743</v>
      </c>
      <c r="P139" s="156">
        <v>-3310</v>
      </c>
      <c r="Q139" s="156">
        <v>-4106</v>
      </c>
      <c r="R139" s="156">
        <v>-5541</v>
      </c>
      <c r="S139" s="156">
        <v>-4358</v>
      </c>
      <c r="T139" s="156">
        <v>-3778</v>
      </c>
      <c r="U139" s="156">
        <v>-6945</v>
      </c>
      <c r="V139" s="156">
        <v>-4946</v>
      </c>
      <c r="W139" s="156">
        <v>-2770</v>
      </c>
      <c r="X139" s="156">
        <v>-2580</v>
      </c>
      <c r="Y139" s="156">
        <v>-4130</v>
      </c>
      <c r="Z139" s="156">
        <v>-4898</v>
      </c>
      <c r="AA139" s="156">
        <v>-3110</v>
      </c>
      <c r="AB139" s="156">
        <v>-2758</v>
      </c>
    </row>
    <row r="140" spans="1:30" x14ac:dyDescent="0.25">
      <c r="A140" s="215" t="s">
        <v>455</v>
      </c>
      <c r="B140" s="244">
        <v>40082</v>
      </c>
      <c r="C140" s="244">
        <v>19449</v>
      </c>
      <c r="D140" s="244">
        <v>938</v>
      </c>
      <c r="E140" s="244">
        <v>106646</v>
      </c>
      <c r="F140" s="244">
        <v>60594</v>
      </c>
      <c r="G140" s="244">
        <v>15000</v>
      </c>
      <c r="H140" s="244">
        <v>11661</v>
      </c>
      <c r="I140" s="156">
        <v>-1</v>
      </c>
      <c r="J140" s="244">
        <v>542000</v>
      </c>
      <c r="K140" s="244">
        <v>7000</v>
      </c>
      <c r="L140" s="244">
        <v>450000</v>
      </c>
      <c r="M140" s="244">
        <v>6000</v>
      </c>
      <c r="N140" s="244">
        <v>451180</v>
      </c>
      <c r="O140" s="149">
        <v>0</v>
      </c>
      <c r="P140" s="244">
        <v>513</v>
      </c>
      <c r="Q140" s="244">
        <v>632</v>
      </c>
      <c r="R140" s="149">
        <v>0</v>
      </c>
      <c r="S140" s="149">
        <v>0</v>
      </c>
      <c r="T140" s="149">
        <v>0</v>
      </c>
      <c r="U140" s="149">
        <v>0</v>
      </c>
      <c r="V140" s="149">
        <v>0</v>
      </c>
      <c r="W140" s="149">
        <v>0</v>
      </c>
      <c r="X140" s="244">
        <v>295000</v>
      </c>
      <c r="Y140" s="149">
        <v>0</v>
      </c>
      <c r="Z140" s="149">
        <v>0</v>
      </c>
      <c r="AA140" s="244">
        <v>916</v>
      </c>
      <c r="AB140" s="149">
        <v>0</v>
      </c>
    </row>
    <row r="141" spans="1:30" x14ac:dyDescent="0.25">
      <c r="A141" s="215" t="s">
        <v>300</v>
      </c>
      <c r="B141" s="156">
        <v>-84553</v>
      </c>
      <c r="C141" s="156">
        <v>-148527</v>
      </c>
      <c r="D141" s="156">
        <v>-101680</v>
      </c>
      <c r="E141" s="156">
        <v>-409260</v>
      </c>
      <c r="F141" s="156">
        <v>-152215</v>
      </c>
      <c r="G141" s="156">
        <v>-83769</v>
      </c>
      <c r="H141" s="156">
        <v>-162825</v>
      </c>
      <c r="I141" s="156">
        <v>-68374</v>
      </c>
      <c r="J141" s="156">
        <v>-31103</v>
      </c>
      <c r="K141" s="156">
        <v>-65412</v>
      </c>
      <c r="L141" s="156">
        <v>-31232</v>
      </c>
      <c r="M141" s="156">
        <v>-129463</v>
      </c>
      <c r="N141" s="156">
        <v>-7900</v>
      </c>
      <c r="O141" s="156">
        <v>-11748</v>
      </c>
      <c r="P141" s="156">
        <v>-30139</v>
      </c>
      <c r="Q141" s="156">
        <v>-91439</v>
      </c>
      <c r="R141" s="156">
        <v>-30340</v>
      </c>
      <c r="S141" s="156">
        <v>-30368</v>
      </c>
      <c r="T141" s="156">
        <v>-30370</v>
      </c>
      <c r="U141" s="156">
        <v>-78893</v>
      </c>
      <c r="V141" s="156">
        <v>-22353</v>
      </c>
      <c r="W141" s="156">
        <v>-22386</v>
      </c>
      <c r="X141" s="156">
        <v>-22387</v>
      </c>
      <c r="Y141" s="156">
        <v>-73459</v>
      </c>
      <c r="Z141" s="156">
        <v>-22323</v>
      </c>
      <c r="AA141" s="156">
        <v>-22401</v>
      </c>
      <c r="AB141" s="156">
        <v>-22235</v>
      </c>
    </row>
    <row r="142" spans="1:30" x14ac:dyDescent="0.25">
      <c r="A142" s="215" t="s">
        <v>304</v>
      </c>
      <c r="B142" s="149">
        <v>0</v>
      </c>
      <c r="C142" s="149">
        <v>0</v>
      </c>
      <c r="D142" s="149">
        <v>0</v>
      </c>
      <c r="E142" s="156">
        <v>848200</v>
      </c>
      <c r="F142" s="149">
        <v>0</v>
      </c>
      <c r="G142" s="149">
        <v>0</v>
      </c>
      <c r="H142" s="149">
        <v>0</v>
      </c>
      <c r="I142" s="244">
        <v>3300000</v>
      </c>
      <c r="J142" s="244">
        <v>150000</v>
      </c>
      <c r="K142" s="149">
        <v>0</v>
      </c>
      <c r="L142" s="149">
        <v>0</v>
      </c>
      <c r="M142" s="149">
        <v>0</v>
      </c>
      <c r="N142" s="149">
        <v>0</v>
      </c>
      <c r="O142" s="149">
        <v>0</v>
      </c>
      <c r="P142" s="149">
        <v>0</v>
      </c>
      <c r="Q142" s="149">
        <v>0</v>
      </c>
      <c r="R142" s="244">
        <v>800000</v>
      </c>
      <c r="S142" s="244">
        <v>200000</v>
      </c>
      <c r="T142" s="244">
        <v>200000</v>
      </c>
      <c r="U142" s="244">
        <v>2453234</v>
      </c>
      <c r="V142" s="149">
        <v>0</v>
      </c>
      <c r="W142" s="149">
        <v>0</v>
      </c>
      <c r="X142" s="149">
        <v>0</v>
      </c>
      <c r="Y142" s="244">
        <v>310000</v>
      </c>
      <c r="Z142" s="244">
        <v>2860000</v>
      </c>
      <c r="AA142" s="282">
        <v>0</v>
      </c>
      <c r="AB142" s="282">
        <v>0</v>
      </c>
    </row>
    <row r="143" spans="1:30" x14ac:dyDescent="0.25">
      <c r="A143" s="289" t="s">
        <v>299</v>
      </c>
      <c r="B143" s="273">
        <v>0</v>
      </c>
      <c r="C143" s="156">
        <v>-41308</v>
      </c>
      <c r="D143" s="149">
        <v>0</v>
      </c>
      <c r="E143" s="156">
        <v>-567384</v>
      </c>
      <c r="F143" s="149">
        <v>0</v>
      </c>
      <c r="G143" s="149">
        <v>0</v>
      </c>
      <c r="H143" s="149">
        <v>0</v>
      </c>
      <c r="I143" s="149">
        <v>0</v>
      </c>
      <c r="J143" s="149">
        <v>0</v>
      </c>
      <c r="K143" s="149">
        <v>0</v>
      </c>
      <c r="L143" s="149">
        <v>0</v>
      </c>
      <c r="M143" s="149">
        <v>0</v>
      </c>
      <c r="N143" s="149">
        <v>0</v>
      </c>
      <c r="O143" s="149">
        <v>0</v>
      </c>
      <c r="P143" s="149">
        <v>0</v>
      </c>
      <c r="Q143" s="149">
        <v>0</v>
      </c>
      <c r="R143" s="156">
        <v>-200000</v>
      </c>
      <c r="S143" s="156">
        <v>-100000</v>
      </c>
      <c r="T143" s="149">
        <v>0</v>
      </c>
      <c r="U143" s="156">
        <v>-848200</v>
      </c>
      <c r="V143" s="156">
        <v>-150000</v>
      </c>
      <c r="W143" s="149">
        <v>0</v>
      </c>
      <c r="X143" s="149">
        <v>0</v>
      </c>
      <c r="Y143" s="156">
        <v>-300000</v>
      </c>
      <c r="Z143" s="156">
        <v>-2250000</v>
      </c>
      <c r="AA143" s="282">
        <v>0</v>
      </c>
      <c r="AB143" s="156">
        <v>-300000</v>
      </c>
    </row>
    <row r="144" spans="1:30" x14ac:dyDescent="0.25">
      <c r="A144" s="215" t="s">
        <v>456</v>
      </c>
      <c r="B144" s="149">
        <v>0</v>
      </c>
      <c r="C144" s="149">
        <v>0</v>
      </c>
      <c r="D144" s="149">
        <v>0</v>
      </c>
      <c r="E144" s="149">
        <v>0</v>
      </c>
      <c r="F144" s="149">
        <v>0</v>
      </c>
      <c r="G144" s="149">
        <v>0</v>
      </c>
      <c r="H144" s="156">
        <v>-262882</v>
      </c>
      <c r="I144" s="149">
        <v>0</v>
      </c>
      <c r="J144" s="149">
        <v>0</v>
      </c>
      <c r="K144" s="149">
        <v>0</v>
      </c>
      <c r="L144" s="156">
        <v>-543290</v>
      </c>
      <c r="M144" s="149">
        <v>0</v>
      </c>
      <c r="N144" s="149">
        <v>0</v>
      </c>
      <c r="O144" s="156">
        <v>-340680</v>
      </c>
      <c r="P144" s="156">
        <v>-9830</v>
      </c>
      <c r="Q144" s="149">
        <v>0</v>
      </c>
      <c r="R144" s="149">
        <v>0</v>
      </c>
      <c r="S144" s="149">
        <v>0</v>
      </c>
      <c r="T144" s="156">
        <v>-324182</v>
      </c>
      <c r="U144" s="156">
        <v>-8802</v>
      </c>
      <c r="V144" s="149">
        <v>0</v>
      </c>
      <c r="W144" s="149">
        <v>0</v>
      </c>
      <c r="X144" s="156">
        <v>-262882</v>
      </c>
      <c r="Y144" s="149">
        <v>0</v>
      </c>
      <c r="Z144" s="149">
        <v>0</v>
      </c>
      <c r="AA144" s="282">
        <v>0</v>
      </c>
      <c r="AB144" s="282">
        <v>0</v>
      </c>
    </row>
    <row r="145" spans="1:29" x14ac:dyDescent="0.25">
      <c r="A145" s="215" t="s">
        <v>457</v>
      </c>
      <c r="B145" s="156">
        <v>-10</v>
      </c>
      <c r="C145" s="156">
        <v>-2277</v>
      </c>
      <c r="D145" s="156">
        <v>-3282</v>
      </c>
      <c r="E145" s="156">
        <v>-4</v>
      </c>
      <c r="F145" s="156">
        <v>-2</v>
      </c>
      <c r="G145" s="156">
        <v>-10883</v>
      </c>
      <c r="H145" s="156">
        <v>-1912</v>
      </c>
      <c r="I145" s="156">
        <v>-879</v>
      </c>
      <c r="J145" s="156">
        <v>-6</v>
      </c>
      <c r="K145" s="156">
        <v>-16013</v>
      </c>
      <c r="L145" s="156">
        <v>-416</v>
      </c>
      <c r="M145" s="244">
        <v>1</v>
      </c>
      <c r="N145" s="156">
        <v>-81</v>
      </c>
      <c r="O145" s="156">
        <v>-7155</v>
      </c>
      <c r="P145" s="156">
        <v>-835</v>
      </c>
      <c r="Q145" s="244">
        <v>24</v>
      </c>
      <c r="R145" s="156">
        <v>-32</v>
      </c>
      <c r="S145" s="156">
        <v>-958</v>
      </c>
      <c r="T145" s="156">
        <v>-262</v>
      </c>
      <c r="U145" s="244">
        <v>19</v>
      </c>
      <c r="V145" s="156">
        <v>-8</v>
      </c>
      <c r="W145" s="156">
        <v>-1813</v>
      </c>
      <c r="X145" s="156">
        <v>-848</v>
      </c>
      <c r="Y145" s="244">
        <v>39</v>
      </c>
      <c r="Z145" s="149">
        <v>0</v>
      </c>
      <c r="AA145" s="156">
        <v>-2477</v>
      </c>
      <c r="AB145" s="156">
        <v>-185</v>
      </c>
    </row>
    <row r="146" spans="1:29" x14ac:dyDescent="0.25">
      <c r="A146" s="215" t="s">
        <v>301</v>
      </c>
      <c r="B146" s="156">
        <v>-17396</v>
      </c>
      <c r="C146" s="156">
        <v>-37714</v>
      </c>
      <c r="D146" s="156">
        <v>-14084</v>
      </c>
      <c r="E146" s="156">
        <v>-46626</v>
      </c>
      <c r="F146" s="156">
        <v>-8468</v>
      </c>
      <c r="G146" s="156">
        <v>-19731</v>
      </c>
      <c r="H146" s="156">
        <v>-12060</v>
      </c>
      <c r="I146" s="156">
        <v>-12033</v>
      </c>
      <c r="J146" s="156">
        <v>-4839</v>
      </c>
      <c r="K146" s="156">
        <v>-102209</v>
      </c>
      <c r="L146" s="244">
        <v>11222</v>
      </c>
      <c r="M146" s="156">
        <v>-126263</v>
      </c>
      <c r="N146" s="156">
        <v>-8799</v>
      </c>
      <c r="O146" s="156">
        <v>-76963</v>
      </c>
      <c r="P146" s="156">
        <v>-17851</v>
      </c>
      <c r="Q146" s="156">
        <v>-125818</v>
      </c>
      <c r="R146" s="156">
        <v>-13933</v>
      </c>
      <c r="S146" s="156">
        <v>-123027</v>
      </c>
      <c r="T146" s="244">
        <v>491</v>
      </c>
      <c r="U146" s="156">
        <v>-136923</v>
      </c>
      <c r="V146" s="156">
        <v>-11710</v>
      </c>
      <c r="W146" s="156">
        <v>-123676</v>
      </c>
      <c r="X146" s="244">
        <v>9285</v>
      </c>
      <c r="Y146" s="156">
        <v>-150204</v>
      </c>
      <c r="Z146" s="156">
        <v>-25165</v>
      </c>
      <c r="AA146" s="156">
        <v>-92174</v>
      </c>
      <c r="AB146" s="244">
        <v>2920</v>
      </c>
    </row>
    <row r="147" spans="1:29" x14ac:dyDescent="0.25">
      <c r="A147" s="215" t="s">
        <v>458</v>
      </c>
      <c r="B147" s="149">
        <v>0</v>
      </c>
      <c r="C147" s="149">
        <v>0</v>
      </c>
      <c r="D147" s="149">
        <v>0</v>
      </c>
      <c r="E147" s="156">
        <v>-9863</v>
      </c>
      <c r="F147" s="156">
        <v>-24185</v>
      </c>
      <c r="G147" s="156">
        <v>-3007</v>
      </c>
      <c r="H147" s="156">
        <v>-7390</v>
      </c>
      <c r="I147" s="156">
        <v>-3218</v>
      </c>
      <c r="J147" s="156">
        <v>-36</v>
      </c>
      <c r="K147" s="156">
        <v>-4148</v>
      </c>
      <c r="L147" s="156">
        <v>-1726</v>
      </c>
      <c r="M147" s="156">
        <v>-625</v>
      </c>
      <c r="N147" s="156">
        <v>-732</v>
      </c>
      <c r="O147" s="156">
        <v>-620</v>
      </c>
      <c r="P147" s="156">
        <v>-436</v>
      </c>
      <c r="Q147" s="156">
        <v>-35233</v>
      </c>
      <c r="R147" s="156">
        <v>-104504</v>
      </c>
      <c r="S147" s="156">
        <v>-20723</v>
      </c>
      <c r="T147" s="156">
        <v>-101</v>
      </c>
      <c r="U147" s="156">
        <v>-74</v>
      </c>
      <c r="V147" s="156">
        <v>-26</v>
      </c>
      <c r="W147" s="156">
        <v>-114</v>
      </c>
      <c r="X147" s="156">
        <v>-448</v>
      </c>
      <c r="Y147" s="149">
        <v>0</v>
      </c>
      <c r="Z147" s="149">
        <v>0</v>
      </c>
      <c r="AA147" s="156">
        <v>-46</v>
      </c>
      <c r="AB147" s="156">
        <v>-45</v>
      </c>
    </row>
    <row r="148" spans="1:29" x14ac:dyDescent="0.25">
      <c r="A148" s="215" t="s">
        <v>134</v>
      </c>
      <c r="B148" s="156">
        <v>-465</v>
      </c>
      <c r="C148" s="156">
        <v>-2964</v>
      </c>
      <c r="D148" s="156">
        <v>-965</v>
      </c>
      <c r="E148" s="156">
        <v>-3975</v>
      </c>
      <c r="F148" s="156">
        <v>-7624</v>
      </c>
      <c r="G148" s="156">
        <v>-31</v>
      </c>
      <c r="H148" s="244">
        <v>5</v>
      </c>
      <c r="I148" s="156">
        <v>-5404</v>
      </c>
      <c r="J148" s="156">
        <v>-1706</v>
      </c>
      <c r="K148" s="156">
        <v>-28</v>
      </c>
      <c r="L148" s="156">
        <v>-9028</v>
      </c>
      <c r="M148" s="244">
        <v>105870</v>
      </c>
      <c r="N148" s="244">
        <f>-3463+4478</f>
        <v>1015</v>
      </c>
      <c r="O148" s="244">
        <v>19950</v>
      </c>
      <c r="P148" s="244">
        <v>14420</v>
      </c>
      <c r="Q148" s="244">
        <v>75868</v>
      </c>
      <c r="R148" s="244">
        <v>20613</v>
      </c>
      <c r="S148" s="244">
        <v>18042</v>
      </c>
      <c r="T148" s="244">
        <v>1115</v>
      </c>
      <c r="U148" s="244">
        <v>14549</v>
      </c>
      <c r="V148" s="156">
        <f>2888-5361</f>
        <v>-2473</v>
      </c>
      <c r="W148" s="244">
        <v>4705</v>
      </c>
      <c r="X148" s="244">
        <v>2977</v>
      </c>
      <c r="Y148" s="244">
        <v>11515</v>
      </c>
      <c r="Z148" s="156">
        <v>-132825</v>
      </c>
      <c r="AA148" s="156">
        <v>147962</v>
      </c>
      <c r="AB148" s="156">
        <v>-1965</v>
      </c>
    </row>
    <row r="149" spans="1:29" s="183" customFormat="1" x14ac:dyDescent="0.25">
      <c r="A149" s="147" t="s">
        <v>306</v>
      </c>
      <c r="B149" s="279">
        <v>-72728</v>
      </c>
      <c r="C149" s="279">
        <v>-221523</v>
      </c>
      <c r="D149" s="279">
        <v>-126620</v>
      </c>
      <c r="E149" s="279">
        <v>-91993</v>
      </c>
      <c r="F149" s="279">
        <v>-141794</v>
      </c>
      <c r="G149" s="279">
        <v>-107447</v>
      </c>
      <c r="H149" s="279">
        <v>-439198</v>
      </c>
      <c r="I149" s="279">
        <v>3203203</v>
      </c>
      <c r="J149" s="279">
        <v>649358</v>
      </c>
      <c r="K149" s="279">
        <v>-183711</v>
      </c>
      <c r="L149" s="279">
        <v>-127166</v>
      </c>
      <c r="M149" s="279">
        <v>-148765</v>
      </c>
      <c r="N149" s="279">
        <v>429931</v>
      </c>
      <c r="O149" s="279">
        <v>-419959</v>
      </c>
      <c r="P149" s="279">
        <v>-47468</v>
      </c>
      <c r="Q149" s="279">
        <v>-180072</v>
      </c>
      <c r="R149" s="279">
        <v>466263</v>
      </c>
      <c r="S149" s="279">
        <v>-61392</v>
      </c>
      <c r="T149" s="279">
        <v>-157087</v>
      </c>
      <c r="U149" s="279">
        <v>1387965</v>
      </c>
      <c r="V149" s="279">
        <v>-191516</v>
      </c>
      <c r="W149" s="279">
        <v>-146054</v>
      </c>
      <c r="X149" s="279">
        <v>18117</v>
      </c>
      <c r="Y149" s="279">
        <v>-206239</v>
      </c>
      <c r="Z149" s="279">
        <v>424789</v>
      </c>
      <c r="AA149" s="279">
        <v>28670</v>
      </c>
      <c r="AB149" s="279">
        <v>-324268</v>
      </c>
      <c r="AC149" s="144"/>
    </row>
    <row r="150" spans="1:29" x14ac:dyDescent="0.25">
      <c r="A150" s="183" t="s">
        <v>307</v>
      </c>
      <c r="B150" s="156">
        <v>-260326</v>
      </c>
      <c r="C150" s="244">
        <v>323624</v>
      </c>
      <c r="D150" s="244">
        <v>351129</v>
      </c>
      <c r="E150" s="244">
        <v>84578</v>
      </c>
      <c r="F150" s="156">
        <v>-621833</v>
      </c>
      <c r="G150" s="244">
        <v>526273</v>
      </c>
      <c r="H150" s="156">
        <v>-491585</v>
      </c>
      <c r="I150" s="156">
        <v>-378699</v>
      </c>
      <c r="J150" s="244">
        <v>36232</v>
      </c>
      <c r="K150" s="244">
        <v>158242</v>
      </c>
      <c r="L150" s="244">
        <v>440235</v>
      </c>
      <c r="M150" s="156">
        <v>-248871</v>
      </c>
      <c r="N150" s="156">
        <v>-76447</v>
      </c>
      <c r="O150" s="244">
        <v>32601</v>
      </c>
      <c r="P150" s="244">
        <v>470953</v>
      </c>
      <c r="Q150" s="156">
        <v>-777613</v>
      </c>
      <c r="R150" s="156">
        <v>-332840</v>
      </c>
      <c r="S150" s="244">
        <v>23102</v>
      </c>
      <c r="T150" s="244">
        <v>57471</v>
      </c>
      <c r="U150" s="244">
        <v>1119190</v>
      </c>
      <c r="V150" s="156">
        <v>-397440</v>
      </c>
      <c r="W150" s="156">
        <v>-132331</v>
      </c>
      <c r="X150" s="244">
        <v>202064</v>
      </c>
      <c r="Y150" s="156">
        <v>-752649</v>
      </c>
      <c r="Z150" s="156">
        <v>-105200</v>
      </c>
      <c r="AA150" s="156">
        <v>71458</v>
      </c>
      <c r="AB150" s="156">
        <v>-162516</v>
      </c>
    </row>
    <row r="151" spans="1:29" x14ac:dyDescent="0.25">
      <c r="A151" s="215" t="s">
        <v>308</v>
      </c>
      <c r="B151" s="156">
        <v>-121</v>
      </c>
      <c r="C151" s="244">
        <v>178</v>
      </c>
      <c r="D151" s="156">
        <v>-87</v>
      </c>
      <c r="E151" s="156">
        <v>-104</v>
      </c>
      <c r="F151" s="244">
        <v>338</v>
      </c>
      <c r="G151" s="156">
        <v>-192</v>
      </c>
      <c r="H151" s="244">
        <v>87</v>
      </c>
      <c r="I151" s="156">
        <v>-236</v>
      </c>
      <c r="J151" s="156">
        <v>-303</v>
      </c>
      <c r="K151" s="244">
        <v>425</v>
      </c>
      <c r="L151" s="156">
        <v>-1115</v>
      </c>
      <c r="M151" s="156">
        <v>-382</v>
      </c>
      <c r="N151" s="156">
        <v>-720</v>
      </c>
      <c r="O151" s="156">
        <v>-125</v>
      </c>
      <c r="P151" s="156">
        <v>-563</v>
      </c>
      <c r="Q151" s="156">
        <v>-450</v>
      </c>
      <c r="R151" s="156">
        <v>-14</v>
      </c>
      <c r="S151" s="244">
        <v>74</v>
      </c>
      <c r="T151" s="244">
        <v>126</v>
      </c>
      <c r="U151" s="156">
        <v>-363</v>
      </c>
      <c r="V151" s="156">
        <v>-696</v>
      </c>
      <c r="W151" s="244">
        <v>1010</v>
      </c>
      <c r="X151" s="244">
        <v>260</v>
      </c>
      <c r="Y151" s="244">
        <v>595</v>
      </c>
      <c r="Z151" s="244">
        <v>2680</v>
      </c>
      <c r="AA151" s="156">
        <v>-1801</v>
      </c>
      <c r="AB151" s="156">
        <v>1500</v>
      </c>
    </row>
    <row r="152" spans="1:29" x14ac:dyDescent="0.25">
      <c r="A152" s="149" t="s">
        <v>309</v>
      </c>
      <c r="B152" s="244">
        <v>972655</v>
      </c>
      <c r="C152" s="244">
        <v>712329</v>
      </c>
      <c r="D152" s="244">
        <v>1035953</v>
      </c>
      <c r="E152" s="244">
        <v>1387082</v>
      </c>
      <c r="F152" s="244">
        <v>1471660</v>
      </c>
      <c r="G152" s="244">
        <v>849827</v>
      </c>
      <c r="H152" s="244">
        <v>1376100</v>
      </c>
      <c r="I152" s="244">
        <v>884515</v>
      </c>
      <c r="J152" s="244">
        <v>505816</v>
      </c>
      <c r="K152" s="244">
        <v>542048</v>
      </c>
      <c r="L152" s="244">
        <v>700290</v>
      </c>
      <c r="M152" s="244">
        <v>1140525</v>
      </c>
      <c r="N152" s="244">
        <v>891654</v>
      </c>
      <c r="O152" s="244">
        <v>815207</v>
      </c>
      <c r="P152" s="244">
        <v>847808</v>
      </c>
      <c r="Q152" s="244">
        <v>1318761</v>
      </c>
      <c r="R152" s="244">
        <v>541148</v>
      </c>
      <c r="S152" s="244">
        <v>208308</v>
      </c>
      <c r="T152" s="244">
        <v>231410</v>
      </c>
      <c r="U152" s="244">
        <v>288881</v>
      </c>
      <c r="V152" s="244">
        <v>1408071</v>
      </c>
      <c r="W152" s="244">
        <v>1010631</v>
      </c>
      <c r="X152" s="244">
        <v>878300</v>
      </c>
      <c r="Y152" s="244">
        <v>1080364</v>
      </c>
      <c r="Z152" s="244">
        <v>327715</v>
      </c>
      <c r="AA152" s="244">
        <v>222515</v>
      </c>
      <c r="AB152" s="244">
        <v>293973</v>
      </c>
    </row>
    <row r="153" spans="1:29" x14ac:dyDescent="0.25">
      <c r="A153" s="149" t="s">
        <v>459</v>
      </c>
      <c r="B153" s="244">
        <v>712329</v>
      </c>
      <c r="C153" s="244">
        <v>1035953</v>
      </c>
      <c r="D153" s="244">
        <v>1387082</v>
      </c>
      <c r="E153" s="244">
        <v>1471660</v>
      </c>
      <c r="F153" s="244">
        <v>849827</v>
      </c>
      <c r="G153" s="244">
        <v>1376100</v>
      </c>
      <c r="H153" s="244">
        <v>884515</v>
      </c>
      <c r="I153" s="244">
        <v>505816</v>
      </c>
      <c r="J153" s="244">
        <v>542048</v>
      </c>
      <c r="K153" s="244">
        <v>700290</v>
      </c>
      <c r="L153" s="244">
        <v>1140525</v>
      </c>
      <c r="M153" s="244">
        <v>891654</v>
      </c>
      <c r="N153" s="244">
        <v>815207</v>
      </c>
      <c r="O153" s="244">
        <v>847808</v>
      </c>
      <c r="P153" s="244">
        <v>1318761</v>
      </c>
      <c r="Q153" s="244">
        <v>541148</v>
      </c>
      <c r="R153" s="244">
        <v>208308</v>
      </c>
      <c r="S153" s="244">
        <v>231410</v>
      </c>
      <c r="T153" s="244">
        <v>288881</v>
      </c>
      <c r="U153" s="244">
        <v>1408071</v>
      </c>
      <c r="V153" s="244">
        <v>1010631</v>
      </c>
      <c r="W153" s="244">
        <v>878300</v>
      </c>
      <c r="X153" s="244">
        <v>1080364</v>
      </c>
      <c r="Y153" s="244">
        <v>327715</v>
      </c>
      <c r="Z153" s="244">
        <v>222515</v>
      </c>
      <c r="AA153" s="244">
        <v>293973</v>
      </c>
      <c r="AB153" s="244">
        <v>131457</v>
      </c>
    </row>
    <row r="154" spans="1:29" s="183" customFormat="1" x14ac:dyDescent="0.25">
      <c r="A154" s="263" t="s">
        <v>310</v>
      </c>
      <c r="B154" s="285">
        <v>18399</v>
      </c>
      <c r="C154" s="285">
        <v>27374</v>
      </c>
      <c r="D154" s="285">
        <v>52978</v>
      </c>
      <c r="E154" s="285">
        <v>165862</v>
      </c>
      <c r="F154" s="285">
        <v>87164</v>
      </c>
      <c r="G154" s="285">
        <v>69123</v>
      </c>
      <c r="H154" s="285">
        <v>96679</v>
      </c>
      <c r="I154" s="285">
        <v>176241</v>
      </c>
      <c r="J154" s="285">
        <v>252481</v>
      </c>
      <c r="K154" s="285">
        <v>215496</v>
      </c>
      <c r="L154" s="285">
        <v>212072</v>
      </c>
      <c r="M154" s="285">
        <v>290063</v>
      </c>
      <c r="N154" s="285">
        <v>490815</v>
      </c>
      <c r="O154" s="285">
        <v>273729</v>
      </c>
      <c r="P154" s="285">
        <v>130522</v>
      </c>
      <c r="Q154" s="285">
        <v>121129</v>
      </c>
      <c r="R154" s="285">
        <v>111047</v>
      </c>
      <c r="S154" s="285">
        <v>43359</v>
      </c>
      <c r="T154" s="285">
        <v>113077</v>
      </c>
      <c r="U154" s="285">
        <v>116568</v>
      </c>
      <c r="V154" s="285">
        <v>180223</v>
      </c>
      <c r="W154" s="285">
        <v>164421</v>
      </c>
      <c r="X154" s="285">
        <v>192798</v>
      </c>
      <c r="Y154" s="285">
        <v>206254</v>
      </c>
      <c r="Z154" s="285">
        <v>177743</v>
      </c>
      <c r="AA154" s="285">
        <v>179404</v>
      </c>
      <c r="AB154" s="285">
        <v>186188</v>
      </c>
      <c r="AC154" s="144"/>
    </row>
    <row r="155" spans="1:29" x14ac:dyDescent="0.25">
      <c r="V155" s="290"/>
      <c r="W155" s="290"/>
      <c r="X155" s="290"/>
    </row>
    <row r="156" spans="1:29" x14ac:dyDescent="0.25">
      <c r="A156" s="291" t="s">
        <v>349</v>
      </c>
      <c r="B156" s="144" t="s">
        <v>460</v>
      </c>
      <c r="L156" s="144" t="s">
        <v>461</v>
      </c>
    </row>
    <row r="157" spans="1:29" x14ac:dyDescent="0.25">
      <c r="A157" s="291" t="s">
        <v>408</v>
      </c>
      <c r="B157" s="144" t="s">
        <v>462</v>
      </c>
      <c r="L157" s="144" t="s">
        <v>463</v>
      </c>
      <c r="R157" s="245"/>
      <c r="S157" s="245"/>
    </row>
    <row r="158" spans="1:29" x14ac:dyDescent="0.25">
      <c r="A158" s="291" t="s">
        <v>464</v>
      </c>
      <c r="B158" s="144" t="s">
        <v>465</v>
      </c>
      <c r="L158" s="144" t="s">
        <v>466</v>
      </c>
      <c r="R158" s="245"/>
      <c r="S158" s="245"/>
    </row>
    <row r="159" spans="1:29" x14ac:dyDescent="0.25">
      <c r="A159" s="291" t="s">
        <v>467</v>
      </c>
      <c r="B159" s="144" t="s">
        <v>468</v>
      </c>
      <c r="L159" s="144" t="s">
        <v>468</v>
      </c>
    </row>
  </sheetData>
  <customSheetViews>
    <customSheetView guid="{77EFF5B1-32BE-4080-9902-B97F43099026}" scale="90">
      <pane xSplit="1" ySplit="4" topLeftCell="Y5" activePane="bottomRight" state="frozen"/>
      <selection pane="bottomRight" activeCell="A22" sqref="A22"/>
      <pageMargins left="0.7" right="0.7" top="0.75" bottom="0.75" header="0.3" footer="0.3"/>
    </customSheetView>
    <customSheetView guid="{AAA495E0-27FD-4941-85B8-9038B6AD4FA3}" scale="90">
      <pane xSplit="1" ySplit="4" topLeftCell="R41" activePane="bottomRight" state="frozen"/>
      <selection pane="bottomRight" activeCell="AC151" sqref="AC151"/>
      <pageMargins left="0.7" right="0.7" top="0.75" bottom="0.75" header="0.3" footer="0.3"/>
      <pageSetup paperSize="9" orientation="portrait" r:id="rId1"/>
    </customSheetView>
    <customSheetView guid="{874BA5F8-BD95-4DDF-8F31-98DB154CA965}" scale="90">
      <pane xSplit="1" ySplit="4" topLeftCell="S125" activePane="bottomRight" state="frozen"/>
      <selection pane="bottomRight" activeCell="AC139" activeCellId="1" sqref="AC144:AC145 AC139"/>
      <pageMargins left="0.7" right="0.7" top="0.75" bottom="0.75" header="0.3" footer="0.3"/>
    </customSheetView>
    <customSheetView guid="{627AEB6E-B9F1-415E-9A60-881757A50C67}" scale="90">
      <pane xSplit="1" ySplit="4" topLeftCell="Y5" activePane="bottomRight" state="frozen"/>
      <selection pane="bottomRight" activeCell="A22" sqref="A22"/>
      <pageMargins left="0.7" right="0.7" top="0.75" bottom="0.75" header="0.3" footer="0.3"/>
    </customSheetView>
  </customSheetViews>
  <mergeCells count="30">
    <mergeCell ref="G43:G44"/>
    <mergeCell ref="B43:B44"/>
    <mergeCell ref="C43:C44"/>
    <mergeCell ref="D43:D44"/>
    <mergeCell ref="E43:E44"/>
    <mergeCell ref="F43:F44"/>
    <mergeCell ref="P43:P44"/>
    <mergeCell ref="B82:B83"/>
    <mergeCell ref="C82:C83"/>
    <mergeCell ref="D82:D83"/>
    <mergeCell ref="F82:F83"/>
    <mergeCell ref="G82:G83"/>
    <mergeCell ref="H82:H83"/>
    <mergeCell ref="J82:J83"/>
    <mergeCell ref="K82:K83"/>
    <mergeCell ref="L82:L83"/>
    <mergeCell ref="H43:H44"/>
    <mergeCell ref="J43:J44"/>
    <mergeCell ref="K43:K44"/>
    <mergeCell ref="L43:L44"/>
    <mergeCell ref="N43:N44"/>
    <mergeCell ref="O43:O44"/>
    <mergeCell ref="J92:J93"/>
    <mergeCell ref="L92:L93"/>
    <mergeCell ref="B92:B93"/>
    <mergeCell ref="C92:C93"/>
    <mergeCell ref="D92:D93"/>
    <mergeCell ref="F92:F93"/>
    <mergeCell ref="G92:G93"/>
    <mergeCell ref="H92:H9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AP159"/>
  <sheetViews>
    <sheetView zoomScale="90" zoomScaleNormal="90" workbookViewId="0">
      <pane xSplit="1" ySplit="4" topLeftCell="F71" activePane="bottomRight" state="frozen"/>
      <selection pane="topRight" activeCell="B1" sqref="B1"/>
      <selection pane="bottomLeft" activeCell="A5" sqref="A5"/>
      <selection pane="bottomRight" activeCell="P152" sqref="P152"/>
    </sheetView>
  </sheetViews>
  <sheetFormatPr defaultColWidth="12.42578125" defaultRowHeight="15" x14ac:dyDescent="0.25"/>
  <cols>
    <col min="1" max="1" width="85.5703125" style="144" customWidth="1"/>
    <col min="2" max="2" width="21.85546875" style="144" customWidth="1"/>
    <col min="3" max="8" width="21.5703125" style="144" customWidth="1"/>
    <col min="9" max="9" width="25.140625" style="144" customWidth="1"/>
    <col min="10" max="10" width="16" style="144" customWidth="1"/>
    <col min="11" max="11" width="18" style="144" customWidth="1"/>
    <col min="12" max="14" width="16.7109375" style="144" customWidth="1"/>
    <col min="15" max="16384" width="12.42578125" style="144"/>
  </cols>
  <sheetData>
    <row r="1" spans="1:15" ht="27.95" customHeight="1" x14ac:dyDescent="0.25">
      <c r="A1" s="142" t="s">
        <v>469</v>
      </c>
      <c r="B1" s="292"/>
      <c r="C1" s="143"/>
    </row>
    <row r="2" spans="1:15" ht="15.75" x14ac:dyDescent="0.25">
      <c r="A2" s="233" t="s">
        <v>203</v>
      </c>
      <c r="B2" s="234"/>
      <c r="C2" s="234"/>
      <c r="D2" s="234"/>
      <c r="E2" s="234"/>
      <c r="F2" s="235"/>
      <c r="G2" s="235"/>
      <c r="H2" s="235"/>
      <c r="I2" s="235"/>
      <c r="J2" s="235"/>
      <c r="K2" s="235"/>
      <c r="L2" s="235"/>
      <c r="M2" s="235"/>
      <c r="N2" s="235"/>
    </row>
    <row r="3" spans="1:15" ht="25.5" x14ac:dyDescent="0.25">
      <c r="A3" s="237" t="s">
        <v>86</v>
      </c>
      <c r="B3" s="146" t="s">
        <v>470</v>
      </c>
      <c r="C3" s="146" t="s">
        <v>471</v>
      </c>
      <c r="D3" s="146" t="s">
        <v>472</v>
      </c>
      <c r="E3" s="146" t="s">
        <v>473</v>
      </c>
      <c r="F3" s="146" t="s">
        <v>474</v>
      </c>
      <c r="G3" s="239" t="s">
        <v>475</v>
      </c>
      <c r="H3" s="146" t="s">
        <v>476</v>
      </c>
      <c r="I3" s="239" t="s">
        <v>477</v>
      </c>
      <c r="J3" s="146" t="s">
        <v>13</v>
      </c>
      <c r="K3" s="146" t="s">
        <v>478</v>
      </c>
      <c r="L3" s="146" t="s">
        <v>479</v>
      </c>
      <c r="M3" s="146" t="s">
        <v>480</v>
      </c>
      <c r="N3" s="146" t="s">
        <v>514</v>
      </c>
    </row>
    <row r="4" spans="1:15" x14ac:dyDescent="0.25">
      <c r="A4" s="183"/>
      <c r="B4" s="293"/>
      <c r="C4" s="293"/>
      <c r="D4" s="293"/>
      <c r="E4" s="293"/>
      <c r="F4" s="294"/>
      <c r="G4" s="294"/>
      <c r="H4" s="295"/>
    </row>
    <row r="5" spans="1:15" x14ac:dyDescent="0.25">
      <c r="A5" s="183" t="s">
        <v>205</v>
      </c>
      <c r="B5" s="291">
        <v>7260289</v>
      </c>
      <c r="C5" s="291">
        <v>8168590</v>
      </c>
      <c r="D5" s="291">
        <v>10331144</v>
      </c>
      <c r="E5" s="291">
        <v>10424078</v>
      </c>
      <c r="F5" s="291">
        <v>12313986</v>
      </c>
      <c r="G5" s="291">
        <v>12438999</v>
      </c>
      <c r="H5" s="291">
        <f>9706524-32922</f>
        <v>9673602</v>
      </c>
      <c r="I5" s="291">
        <v>9426214</v>
      </c>
      <c r="J5" s="291">
        <v>9305450</v>
      </c>
      <c r="K5" s="296">
        <v>9214448</v>
      </c>
      <c r="L5" s="296">
        <v>9256614</v>
      </c>
      <c r="M5" s="296">
        <v>9118610</v>
      </c>
      <c r="N5" s="296">
        <v>8942857</v>
      </c>
      <c r="O5" s="296"/>
    </row>
    <row r="6" spans="1:15" x14ac:dyDescent="0.25">
      <c r="A6" s="215" t="s">
        <v>206</v>
      </c>
      <c r="B6" s="291">
        <v>-5996628</v>
      </c>
      <c r="C6" s="291">
        <v>-7092500</v>
      </c>
      <c r="D6" s="291">
        <v>-8929150</v>
      </c>
      <c r="E6" s="291">
        <v>-9245204</v>
      </c>
      <c r="F6" s="291">
        <v>-10493905</v>
      </c>
      <c r="G6" s="291">
        <v>-10788149</v>
      </c>
      <c r="H6" s="291">
        <f>-7928047+32922</f>
        <v>-7895125</v>
      </c>
      <c r="I6" s="291">
        <v>-8062414</v>
      </c>
      <c r="J6" s="291">
        <v>-7644323</v>
      </c>
      <c r="K6" s="296">
        <v>-7946875</v>
      </c>
      <c r="L6" s="296">
        <v>-7612275</v>
      </c>
      <c r="M6" s="296">
        <v>-11528500</v>
      </c>
      <c r="N6" s="296">
        <v>-8286129</v>
      </c>
      <c r="O6" s="296"/>
    </row>
    <row r="7" spans="1:15" x14ac:dyDescent="0.25">
      <c r="A7" s="183" t="s">
        <v>337</v>
      </c>
      <c r="B7" s="291">
        <v>1263661</v>
      </c>
      <c r="C7" s="291">
        <v>1076090</v>
      </c>
      <c r="D7" s="291">
        <v>1401994</v>
      </c>
      <c r="E7" s="291">
        <v>1178874</v>
      </c>
      <c r="F7" s="291">
        <v>1820081</v>
      </c>
      <c r="G7" s="291">
        <v>1650850</v>
      </c>
      <c r="H7" s="291">
        <f>1778477</f>
        <v>1778477</v>
      </c>
      <c r="I7" s="291">
        <v>1363800</v>
      </c>
      <c r="J7" s="291">
        <v>1661127</v>
      </c>
      <c r="K7" s="296">
        <v>1267573</v>
      </c>
      <c r="L7" s="296">
        <v>1644339</v>
      </c>
      <c r="M7" s="296">
        <v>-2409890</v>
      </c>
      <c r="N7" s="296">
        <v>656728</v>
      </c>
      <c r="O7" s="296"/>
    </row>
    <row r="8" spans="1:15" x14ac:dyDescent="0.25">
      <c r="A8" s="215" t="s">
        <v>338</v>
      </c>
      <c r="B8" s="291">
        <v>52643</v>
      </c>
      <c r="C8" s="291">
        <v>52543</v>
      </c>
      <c r="D8" s="291">
        <v>44458</v>
      </c>
      <c r="E8" s="291">
        <v>54988</v>
      </c>
      <c r="F8" s="291">
        <v>48800</v>
      </c>
      <c r="G8" s="291">
        <v>70101</v>
      </c>
      <c r="H8" s="291">
        <v>63082</v>
      </c>
      <c r="I8" s="291">
        <v>64354</v>
      </c>
      <c r="J8" s="291">
        <v>79801</v>
      </c>
      <c r="K8" s="296">
        <v>153505</v>
      </c>
      <c r="L8" s="296">
        <v>73322</v>
      </c>
      <c r="M8" s="296">
        <v>98033</v>
      </c>
      <c r="N8" s="296">
        <v>59053</v>
      </c>
      <c r="O8" s="296"/>
    </row>
    <row r="9" spans="1:15" x14ac:dyDescent="0.25">
      <c r="A9" s="215" t="s">
        <v>208</v>
      </c>
      <c r="B9" s="291">
        <v>-109214</v>
      </c>
      <c r="C9" s="291">
        <v>-122038</v>
      </c>
      <c r="D9" s="291">
        <v>-150790</v>
      </c>
      <c r="E9" s="291">
        <v>-132592</v>
      </c>
      <c r="F9" s="291">
        <v>-230974</v>
      </c>
      <c r="G9" s="291">
        <v>-321317</v>
      </c>
      <c r="H9" s="291">
        <v>-270173</v>
      </c>
      <c r="I9" s="291">
        <v>-283329</v>
      </c>
      <c r="J9" s="291">
        <v>-257189</v>
      </c>
      <c r="K9" s="296">
        <v>-291975</v>
      </c>
      <c r="L9" s="296">
        <v>-237832</v>
      </c>
      <c r="M9" s="296">
        <v>-251027</v>
      </c>
      <c r="N9" s="296">
        <v>-220397</v>
      </c>
      <c r="O9" s="296"/>
    </row>
    <row r="10" spans="1:15" x14ac:dyDescent="0.25">
      <c r="A10" s="215" t="s">
        <v>209</v>
      </c>
      <c r="B10" s="291">
        <v>-340620</v>
      </c>
      <c r="C10" s="291">
        <v>-329688</v>
      </c>
      <c r="D10" s="291">
        <v>-308572</v>
      </c>
      <c r="E10" s="291">
        <v>-355398</v>
      </c>
      <c r="F10" s="291">
        <v>-339879</v>
      </c>
      <c r="G10" s="291">
        <v>-394875</v>
      </c>
      <c r="H10" s="291">
        <v>-342054</v>
      </c>
      <c r="I10" s="291">
        <v>-303352</v>
      </c>
      <c r="J10" s="291">
        <v>-332199</v>
      </c>
      <c r="K10" s="296">
        <v>-331988</v>
      </c>
      <c r="L10" s="296">
        <v>-312824</v>
      </c>
      <c r="M10" s="296">
        <v>-306145</v>
      </c>
      <c r="N10" s="296">
        <v>-317979</v>
      </c>
      <c r="O10" s="296"/>
    </row>
    <row r="11" spans="1:15" x14ac:dyDescent="0.25">
      <c r="A11" s="215" t="s">
        <v>339</v>
      </c>
      <c r="B11" s="291">
        <v>-83719</v>
      </c>
      <c r="C11" s="291">
        <v>-60399</v>
      </c>
      <c r="D11" s="291">
        <v>-49012</v>
      </c>
      <c r="E11" s="291">
        <v>-38446</v>
      </c>
      <c r="F11" s="291">
        <v>-44623</v>
      </c>
      <c r="G11" s="291">
        <v>-93035</v>
      </c>
      <c r="H11" s="291">
        <v>-39558</v>
      </c>
      <c r="I11" s="291">
        <v>-95565</v>
      </c>
      <c r="J11" s="291">
        <v>-69086</v>
      </c>
      <c r="K11" s="296">
        <v>-49456</v>
      </c>
      <c r="L11" s="296">
        <v>-122703</v>
      </c>
      <c r="M11" s="296">
        <v>-76414</v>
      </c>
      <c r="N11" s="296">
        <v>-43760</v>
      </c>
      <c r="O11" s="296"/>
    </row>
    <row r="12" spans="1:15" x14ac:dyDescent="0.25">
      <c r="A12" s="183" t="s">
        <v>340</v>
      </c>
      <c r="B12" s="291">
        <v>782751</v>
      </c>
      <c r="C12" s="291">
        <v>616508</v>
      </c>
      <c r="D12" s="291">
        <v>938078</v>
      </c>
      <c r="E12" s="291">
        <v>707426</v>
      </c>
      <c r="F12" s="291">
        <v>1253405</v>
      </c>
      <c r="G12" s="291">
        <v>911724</v>
      </c>
      <c r="H12" s="291">
        <f>1189774</f>
        <v>1189774</v>
      </c>
      <c r="I12" s="291">
        <v>745908</v>
      </c>
      <c r="J12" s="291">
        <v>1082454</v>
      </c>
      <c r="K12" s="296">
        <v>747659</v>
      </c>
      <c r="L12" s="296">
        <v>1044302</v>
      </c>
      <c r="M12" s="296">
        <v>-2945443</v>
      </c>
      <c r="N12" s="296">
        <v>133645</v>
      </c>
      <c r="O12" s="296"/>
    </row>
    <row r="13" spans="1:15" x14ac:dyDescent="0.25">
      <c r="A13" s="215" t="s">
        <v>213</v>
      </c>
      <c r="B13" s="291">
        <v>43783</v>
      </c>
      <c r="C13" s="291">
        <v>48501</v>
      </c>
      <c r="D13" s="291">
        <v>54821</v>
      </c>
      <c r="E13" s="291">
        <v>60946</v>
      </c>
      <c r="F13" s="291">
        <v>53337</v>
      </c>
      <c r="G13" s="291">
        <v>77969</v>
      </c>
      <c r="H13" s="291">
        <v>58663</v>
      </c>
      <c r="I13" s="291">
        <v>40594</v>
      </c>
      <c r="J13" s="291">
        <v>28961</v>
      </c>
      <c r="K13" s="296">
        <v>57237</v>
      </c>
      <c r="L13" s="296">
        <v>42078</v>
      </c>
      <c r="M13" s="296">
        <v>31374</v>
      </c>
      <c r="N13" s="296">
        <v>55939</v>
      </c>
      <c r="O13" s="296"/>
    </row>
    <row r="14" spans="1:15" x14ac:dyDescent="0.25">
      <c r="A14" s="215" t="s">
        <v>341</v>
      </c>
      <c r="B14" s="291">
        <v>-105076</v>
      </c>
      <c r="C14" s="291">
        <v>-128917</v>
      </c>
      <c r="D14" s="291">
        <v>-77495</v>
      </c>
      <c r="E14" s="291">
        <v>-82779</v>
      </c>
      <c r="F14" s="291">
        <v>-163715</v>
      </c>
      <c r="G14" s="291">
        <v>-183409</v>
      </c>
      <c r="H14" s="291">
        <v>-160869</v>
      </c>
      <c r="I14" s="291">
        <v>-186124</v>
      </c>
      <c r="J14" s="291">
        <v>-185096</v>
      </c>
      <c r="K14" s="296">
        <v>-232064</v>
      </c>
      <c r="L14" s="296">
        <v>-232447</v>
      </c>
      <c r="M14" s="296">
        <v>-135568</v>
      </c>
      <c r="N14" s="296">
        <v>-216770</v>
      </c>
      <c r="O14" s="296"/>
    </row>
    <row r="15" spans="1:15" x14ac:dyDescent="0.25">
      <c r="A15" s="215" t="s">
        <v>342</v>
      </c>
      <c r="B15" s="291">
        <v>0</v>
      </c>
      <c r="C15" s="291">
        <v>-236</v>
      </c>
      <c r="D15" s="291">
        <v>-539</v>
      </c>
      <c r="E15" s="291">
        <v>-507</v>
      </c>
      <c r="F15" s="291">
        <v>-671</v>
      </c>
      <c r="G15" s="291">
        <v>-1063</v>
      </c>
      <c r="H15" s="291">
        <v>-1414</v>
      </c>
      <c r="I15" s="291">
        <v>-1295</v>
      </c>
      <c r="J15" s="291">
        <v>-776</v>
      </c>
      <c r="K15" s="296">
        <v>-160</v>
      </c>
      <c r="L15" s="296">
        <v>4870</v>
      </c>
      <c r="M15" s="296">
        <v>3063</v>
      </c>
      <c r="N15" s="296">
        <v>59861</v>
      </c>
      <c r="O15" s="296"/>
    </row>
    <row r="16" spans="1:15" x14ac:dyDescent="0.25">
      <c r="A16" s="183" t="s">
        <v>343</v>
      </c>
      <c r="B16" s="291">
        <v>721458</v>
      </c>
      <c r="C16" s="291">
        <v>535856</v>
      </c>
      <c r="D16" s="291">
        <v>914865</v>
      </c>
      <c r="E16" s="291">
        <v>685086</v>
      </c>
      <c r="F16" s="291">
        <v>1142356</v>
      </c>
      <c r="G16" s="291">
        <v>805221</v>
      </c>
      <c r="H16" s="291">
        <f>1086154</f>
        <v>1086154</v>
      </c>
      <c r="I16" s="291">
        <v>599083</v>
      </c>
      <c r="J16" s="291">
        <v>925543</v>
      </c>
      <c r="K16" s="296">
        <v>572672</v>
      </c>
      <c r="L16" s="296">
        <v>858803</v>
      </c>
      <c r="M16" s="296">
        <v>-3046574</v>
      </c>
      <c r="N16" s="296">
        <v>32675</v>
      </c>
      <c r="O16" s="296"/>
    </row>
    <row r="17" spans="1:42" x14ac:dyDescent="0.25">
      <c r="A17" s="215" t="s">
        <v>216</v>
      </c>
      <c r="B17" s="291">
        <v>-148497</v>
      </c>
      <c r="C17" s="291">
        <v>-117434</v>
      </c>
      <c r="D17" s="291">
        <v>-186918</v>
      </c>
      <c r="E17" s="291">
        <v>-146099</v>
      </c>
      <c r="F17" s="291">
        <v>-252135</v>
      </c>
      <c r="G17" s="291">
        <v>-144643</v>
      </c>
      <c r="H17" s="291">
        <f>-194272</f>
        <v>-194272</v>
      </c>
      <c r="I17" s="291">
        <v>-143171</v>
      </c>
      <c r="J17" s="291">
        <v>-191621</v>
      </c>
      <c r="K17" s="296">
        <v>-121034</v>
      </c>
      <c r="L17" s="296">
        <v>-138416</v>
      </c>
      <c r="M17" s="296">
        <v>521972</v>
      </c>
      <c r="N17" s="296">
        <v>-27958</v>
      </c>
      <c r="O17" s="296"/>
    </row>
    <row r="18" spans="1:42" x14ac:dyDescent="0.25">
      <c r="A18" s="190" t="s">
        <v>344</v>
      </c>
      <c r="B18" s="291">
        <v>572961</v>
      </c>
      <c r="C18" s="291">
        <v>418422</v>
      </c>
      <c r="D18" s="291">
        <v>727947</v>
      </c>
      <c r="E18" s="291">
        <v>538987</v>
      </c>
      <c r="F18" s="291">
        <v>890221</v>
      </c>
      <c r="G18" s="291">
        <v>660578</v>
      </c>
      <c r="H18" s="291">
        <f>891882</f>
        <v>891882</v>
      </c>
      <c r="I18" s="291">
        <v>455912</v>
      </c>
      <c r="J18" s="291">
        <v>733922</v>
      </c>
      <c r="K18" s="296">
        <v>451638</v>
      </c>
      <c r="L18" s="296">
        <v>720387</v>
      </c>
      <c r="M18" s="296">
        <v>-2524602</v>
      </c>
      <c r="N18" s="296">
        <v>4717</v>
      </c>
      <c r="O18" s="296"/>
    </row>
    <row r="19" spans="1:42" x14ac:dyDescent="0.25">
      <c r="A19" s="183"/>
      <c r="B19" s="297"/>
      <c r="C19" s="297"/>
      <c r="D19" s="298"/>
      <c r="E19" s="297"/>
      <c r="F19" s="298"/>
      <c r="G19" s="298"/>
      <c r="H19" s="298"/>
      <c r="I19" s="298"/>
      <c r="J19" s="298"/>
      <c r="K19" s="298"/>
      <c r="L19" s="298"/>
      <c r="M19" s="299"/>
      <c r="N19" s="299"/>
      <c r="O19" s="296"/>
    </row>
    <row r="20" spans="1:42" x14ac:dyDescent="0.25">
      <c r="A20" s="257" t="s">
        <v>345</v>
      </c>
      <c r="B20" s="300"/>
      <c r="C20" s="261"/>
      <c r="D20" s="301"/>
      <c r="E20" s="261"/>
      <c r="F20" s="301"/>
      <c r="G20" s="301"/>
      <c r="H20" s="302"/>
      <c r="K20" s="296"/>
      <c r="L20" s="296"/>
      <c r="M20" s="296"/>
      <c r="N20" s="296"/>
      <c r="O20" s="296"/>
    </row>
    <row r="21" spans="1:42" s="305" customFormat="1" x14ac:dyDescent="0.25">
      <c r="A21" s="303" t="s">
        <v>346</v>
      </c>
      <c r="B21" s="291">
        <v>0</v>
      </c>
      <c r="C21" s="304">
        <v>0</v>
      </c>
      <c r="D21" s="291">
        <v>0</v>
      </c>
      <c r="E21" s="291">
        <v>0</v>
      </c>
      <c r="F21" s="291">
        <v>11393</v>
      </c>
      <c r="G21" s="291">
        <v>-11393</v>
      </c>
      <c r="H21" s="291">
        <v>0</v>
      </c>
      <c r="I21" s="291">
        <v>0</v>
      </c>
      <c r="J21" s="291">
        <v>0</v>
      </c>
      <c r="K21" s="296">
        <v>0</v>
      </c>
      <c r="L21" s="296">
        <v>0</v>
      </c>
      <c r="M21" s="296">
        <v>0</v>
      </c>
      <c r="N21" s="296">
        <v>0</v>
      </c>
      <c r="O21" s="296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</row>
    <row r="22" spans="1:42" x14ac:dyDescent="0.25">
      <c r="A22" s="228" t="s">
        <v>347</v>
      </c>
      <c r="B22" s="291">
        <v>-7886</v>
      </c>
      <c r="C22" s="304">
        <v>8998</v>
      </c>
      <c r="D22" s="291">
        <v>0</v>
      </c>
      <c r="E22" s="291">
        <v>0</v>
      </c>
      <c r="F22" s="291">
        <v>-40141</v>
      </c>
      <c r="G22" s="291">
        <v>-149615</v>
      </c>
      <c r="H22" s="291">
        <v>36844</v>
      </c>
      <c r="I22" s="273">
        <v>-3447</v>
      </c>
      <c r="J22" s="273">
        <v>-22462</v>
      </c>
      <c r="K22" s="273">
        <v>2255</v>
      </c>
      <c r="L22" s="296">
        <v>48628</v>
      </c>
      <c r="M22" s="296">
        <v>37304</v>
      </c>
      <c r="N22" s="296">
        <v>48846</v>
      </c>
      <c r="O22" s="296"/>
    </row>
    <row r="23" spans="1:42" x14ac:dyDescent="0.25">
      <c r="A23" s="228" t="s">
        <v>348</v>
      </c>
      <c r="B23" s="306" t="s">
        <v>349</v>
      </c>
      <c r="C23" s="306" t="s">
        <v>349</v>
      </c>
      <c r="D23" s="306" t="s">
        <v>349</v>
      </c>
      <c r="E23" s="291">
        <v>37149</v>
      </c>
      <c r="F23" s="291">
        <v>-7036</v>
      </c>
      <c r="G23" s="291">
        <v>-214038</v>
      </c>
      <c r="H23" s="291">
        <v>5391</v>
      </c>
      <c r="I23" s="273">
        <v>16456</v>
      </c>
      <c r="J23" s="273">
        <v>6643</v>
      </c>
      <c r="K23" s="273">
        <v>-345237</v>
      </c>
      <c r="L23" s="296">
        <v>1601</v>
      </c>
      <c r="M23" s="296">
        <v>62535</v>
      </c>
      <c r="N23" s="296">
        <v>-1388</v>
      </c>
      <c r="O23" s="296"/>
    </row>
    <row r="24" spans="1:42" x14ac:dyDescent="0.25">
      <c r="A24" s="228" t="s">
        <v>219</v>
      </c>
      <c r="B24" s="291">
        <v>0</v>
      </c>
      <c r="C24" s="304">
        <v>-271</v>
      </c>
      <c r="D24" s="291">
        <v>151</v>
      </c>
      <c r="E24" s="291">
        <v>207</v>
      </c>
      <c r="F24" s="291">
        <v>-251</v>
      </c>
      <c r="G24" s="291">
        <v>-206</v>
      </c>
      <c r="H24" s="291">
        <v>359</v>
      </c>
      <c r="I24" s="273">
        <v>-1620</v>
      </c>
      <c r="J24" s="273">
        <v>41</v>
      </c>
      <c r="K24" s="273">
        <v>204</v>
      </c>
      <c r="L24" s="296">
        <v>28</v>
      </c>
      <c r="M24" s="296">
        <v>567</v>
      </c>
      <c r="N24" s="296">
        <v>9922</v>
      </c>
      <c r="O24" s="296"/>
    </row>
    <row r="25" spans="1:42" x14ac:dyDescent="0.25">
      <c r="A25" s="228" t="s">
        <v>350</v>
      </c>
      <c r="B25" s="291">
        <v>1498</v>
      </c>
      <c r="C25" s="304">
        <v>-1709</v>
      </c>
      <c r="D25" s="291">
        <v>0</v>
      </c>
      <c r="E25" s="291">
        <v>-7058</v>
      </c>
      <c r="F25" s="291">
        <f>5462+1337</f>
        <v>6799</v>
      </c>
      <c r="G25" s="291">
        <v>70894</v>
      </c>
      <c r="H25" s="291">
        <v>-8023</v>
      </c>
      <c r="I25" s="273">
        <v>-2472</v>
      </c>
      <c r="J25" s="273">
        <v>3008</v>
      </c>
      <c r="K25" s="273">
        <v>65164</v>
      </c>
      <c r="L25" s="296">
        <v>-9546</v>
      </c>
      <c r="M25" s="296">
        <v>-19041</v>
      </c>
      <c r="N25" s="296">
        <v>-9011</v>
      </c>
      <c r="O25" s="296"/>
    </row>
    <row r="26" spans="1:42" x14ac:dyDescent="0.25">
      <c r="A26" s="186" t="s">
        <v>351</v>
      </c>
      <c r="B26" s="291">
        <v>-6388</v>
      </c>
      <c r="C26" s="304">
        <v>7018</v>
      </c>
      <c r="D26" s="291">
        <v>151</v>
      </c>
      <c r="E26" s="291">
        <v>30298</v>
      </c>
      <c r="F26" s="291">
        <f>SUM(F21:F25)</f>
        <v>-29236</v>
      </c>
      <c r="G26" s="291">
        <v>-304358</v>
      </c>
      <c r="H26" s="291">
        <v>34571</v>
      </c>
      <c r="I26" s="273">
        <v>8917</v>
      </c>
      <c r="J26" s="273">
        <v>-12770</v>
      </c>
      <c r="K26" s="273">
        <v>-277614</v>
      </c>
      <c r="L26" s="296">
        <v>40711</v>
      </c>
      <c r="M26" s="296">
        <v>81365</v>
      </c>
      <c r="N26" s="296">
        <v>48369</v>
      </c>
      <c r="O26" s="296"/>
    </row>
    <row r="27" spans="1:42" x14ac:dyDescent="0.25">
      <c r="A27" s="186" t="s">
        <v>352</v>
      </c>
      <c r="B27" s="291">
        <v>566573</v>
      </c>
      <c r="C27" s="304">
        <v>425440</v>
      </c>
      <c r="D27" s="291">
        <v>728098</v>
      </c>
      <c r="E27" s="291">
        <v>569285</v>
      </c>
      <c r="F27" s="291">
        <v>860985</v>
      </c>
      <c r="G27" s="291">
        <v>356220</v>
      </c>
      <c r="H27" s="291">
        <v>926453</v>
      </c>
      <c r="I27" s="273">
        <v>464829</v>
      </c>
      <c r="J27" s="273">
        <v>721152</v>
      </c>
      <c r="K27" s="273">
        <v>174024</v>
      </c>
      <c r="L27" s="296">
        <v>761098</v>
      </c>
      <c r="M27" s="296">
        <v>-2443237</v>
      </c>
      <c r="N27" s="296">
        <v>53086</v>
      </c>
      <c r="O27" s="296"/>
    </row>
    <row r="28" spans="1:42" x14ac:dyDescent="0.25">
      <c r="A28" s="186" t="s">
        <v>353</v>
      </c>
      <c r="B28" s="301"/>
      <c r="C28" s="307"/>
      <c r="D28" s="301"/>
      <c r="E28" s="301"/>
      <c r="F28" s="301"/>
      <c r="G28" s="291"/>
      <c r="H28" s="291"/>
      <c r="I28" s="273"/>
      <c r="J28" s="273"/>
      <c r="K28" s="273"/>
      <c r="L28" s="296"/>
      <c r="M28" s="296"/>
      <c r="N28" s="296"/>
      <c r="O28" s="296"/>
    </row>
    <row r="29" spans="1:42" x14ac:dyDescent="0.25">
      <c r="A29" s="228" t="s">
        <v>228</v>
      </c>
      <c r="B29" s="291">
        <v>481767</v>
      </c>
      <c r="C29" s="304">
        <v>376889</v>
      </c>
      <c r="D29" s="291">
        <v>704033</v>
      </c>
      <c r="E29" s="291">
        <v>541083</v>
      </c>
      <c r="F29" s="291">
        <v>857001</v>
      </c>
      <c r="G29" s="291">
        <v>619391</v>
      </c>
      <c r="H29" s="291">
        <v>849232</v>
      </c>
      <c r="I29" s="273">
        <v>460391</v>
      </c>
      <c r="J29" s="273">
        <v>730290</v>
      </c>
      <c r="K29" s="273">
        <v>450603</v>
      </c>
      <c r="L29" s="296">
        <v>718524</v>
      </c>
      <c r="M29" s="296">
        <v>-2525841</v>
      </c>
      <c r="N29" s="296">
        <v>3435</v>
      </c>
      <c r="O29" s="296"/>
    </row>
    <row r="30" spans="1:42" x14ac:dyDescent="0.25">
      <c r="A30" s="228" t="s">
        <v>229</v>
      </c>
      <c r="B30" s="291">
        <v>91194</v>
      </c>
      <c r="C30" s="304">
        <v>41533</v>
      </c>
      <c r="D30" s="291">
        <v>23914</v>
      </c>
      <c r="E30" s="291">
        <v>-2096</v>
      </c>
      <c r="F30" s="291">
        <v>33220</v>
      </c>
      <c r="G30" s="291">
        <v>41187</v>
      </c>
      <c r="H30" s="291">
        <v>42650</v>
      </c>
      <c r="I30" s="273">
        <v>-4479</v>
      </c>
      <c r="J30" s="273">
        <v>3632</v>
      </c>
      <c r="K30" s="273">
        <v>1035</v>
      </c>
      <c r="L30" s="296">
        <v>1863</v>
      </c>
      <c r="M30" s="296">
        <v>1239</v>
      </c>
      <c r="N30" s="296">
        <v>1282</v>
      </c>
      <c r="O30" s="296"/>
    </row>
    <row r="31" spans="1:42" x14ac:dyDescent="0.25">
      <c r="A31" s="186" t="s">
        <v>230</v>
      </c>
      <c r="B31" s="291"/>
      <c r="C31" s="304"/>
      <c r="D31" s="291"/>
      <c r="E31" s="291"/>
      <c r="F31" s="291"/>
      <c r="G31" s="291"/>
      <c r="H31" s="304"/>
      <c r="I31" s="273"/>
      <c r="J31" s="273"/>
      <c r="K31" s="273"/>
      <c r="L31" s="296"/>
      <c r="M31" s="296"/>
      <c r="N31" s="296"/>
      <c r="O31" s="296"/>
    </row>
    <row r="32" spans="1:42" x14ac:dyDescent="0.25">
      <c r="A32" s="228" t="s">
        <v>228</v>
      </c>
      <c r="B32" s="291">
        <v>476337</v>
      </c>
      <c r="C32" s="304">
        <v>382814</v>
      </c>
      <c r="D32" s="291">
        <v>704184</v>
      </c>
      <c r="E32" s="291">
        <v>569453</v>
      </c>
      <c r="F32" s="291">
        <v>827803</v>
      </c>
      <c r="G32" s="291">
        <v>329814</v>
      </c>
      <c r="H32" s="291">
        <v>882324</v>
      </c>
      <c r="I32" s="273">
        <v>468104</v>
      </c>
      <c r="J32" s="273">
        <v>717505</v>
      </c>
      <c r="K32" s="273">
        <v>173374</v>
      </c>
      <c r="L32" s="296">
        <v>759233</v>
      </c>
      <c r="M32" s="296">
        <v>-2444534</v>
      </c>
      <c r="N32" s="296">
        <v>51804</v>
      </c>
      <c r="O32" s="296"/>
    </row>
    <row r="33" spans="1:15" x14ac:dyDescent="0.25">
      <c r="A33" s="263" t="s">
        <v>229</v>
      </c>
      <c r="B33" s="291">
        <v>90236</v>
      </c>
      <c r="C33" s="304">
        <v>42626</v>
      </c>
      <c r="D33" s="291">
        <v>23914</v>
      </c>
      <c r="E33" s="291">
        <v>-168</v>
      </c>
      <c r="F33" s="291">
        <v>33182</v>
      </c>
      <c r="G33" s="291">
        <v>26406</v>
      </c>
      <c r="H33" s="291">
        <v>44129</v>
      </c>
      <c r="I33" s="273">
        <v>-3275</v>
      </c>
      <c r="J33" s="273">
        <v>3647</v>
      </c>
      <c r="K33" s="273">
        <v>650</v>
      </c>
      <c r="L33" s="296">
        <v>1865</v>
      </c>
      <c r="M33" s="296">
        <v>1297</v>
      </c>
      <c r="N33" s="296">
        <v>1282</v>
      </c>
      <c r="O33" s="296"/>
    </row>
    <row r="34" spans="1:15" x14ac:dyDescent="0.25">
      <c r="A34" s="183"/>
      <c r="B34" s="308"/>
      <c r="C34" s="308"/>
      <c r="D34" s="309"/>
      <c r="E34" s="309"/>
      <c r="F34" s="309"/>
      <c r="G34" s="309"/>
      <c r="H34" s="310"/>
      <c r="I34" s="310"/>
      <c r="J34" s="310"/>
      <c r="K34" s="310"/>
      <c r="L34" s="310"/>
      <c r="M34" s="310"/>
      <c r="N34" s="310"/>
      <c r="O34" s="296"/>
    </row>
    <row r="35" spans="1:15" x14ac:dyDescent="0.25">
      <c r="A35" s="257" t="s">
        <v>354</v>
      </c>
      <c r="B35" s="261"/>
      <c r="C35" s="261"/>
      <c r="D35" s="301"/>
      <c r="E35" s="301"/>
      <c r="F35" s="301"/>
      <c r="G35" s="301"/>
      <c r="H35" s="291"/>
      <c r="I35" s="296"/>
      <c r="J35" s="296"/>
      <c r="K35" s="296"/>
      <c r="L35" s="296"/>
      <c r="M35" s="296"/>
      <c r="N35" s="296"/>
      <c r="O35" s="296"/>
    </row>
    <row r="36" spans="1:15" x14ac:dyDescent="0.25">
      <c r="A36" s="229" t="s">
        <v>355</v>
      </c>
      <c r="B36" s="311">
        <v>0.31</v>
      </c>
      <c r="C36" s="311">
        <v>0.23</v>
      </c>
      <c r="D36" s="311">
        <v>0.4</v>
      </c>
      <c r="E36" s="311">
        <v>0.31</v>
      </c>
      <c r="F36" s="311">
        <v>0.49</v>
      </c>
      <c r="G36" s="311">
        <v>0.35</v>
      </c>
      <c r="H36" s="311">
        <v>0.48</v>
      </c>
      <c r="I36" s="311">
        <v>0.27</v>
      </c>
      <c r="J36" s="311">
        <v>0.42</v>
      </c>
      <c r="K36" s="311">
        <v>0.25000000000000006</v>
      </c>
      <c r="L36" s="311">
        <v>0.41</v>
      </c>
      <c r="M36" s="311">
        <v>-1.44</v>
      </c>
      <c r="N36" s="311">
        <v>0</v>
      </c>
      <c r="O36" s="296"/>
    </row>
    <row r="37" spans="1:15" x14ac:dyDescent="0.25">
      <c r="F37" s="312"/>
      <c r="G37" s="312"/>
      <c r="H37" s="291"/>
    </row>
    <row r="38" spans="1:15" ht="15.75" x14ac:dyDescent="0.25">
      <c r="A38" s="269" t="s">
        <v>232</v>
      </c>
      <c r="B38" s="270"/>
      <c r="C38" s="270"/>
      <c r="D38" s="270"/>
      <c r="E38" s="270"/>
      <c r="F38" s="313"/>
      <c r="G38" s="313"/>
      <c r="H38" s="313"/>
      <c r="I38" s="313"/>
      <c r="J38" s="313"/>
      <c r="K38" s="313"/>
      <c r="L38" s="313"/>
      <c r="M38" s="313"/>
      <c r="N38" s="313"/>
    </row>
    <row r="39" spans="1:15" ht="25.5" x14ac:dyDescent="0.25">
      <c r="A39" s="145" t="s">
        <v>86</v>
      </c>
      <c r="B39" s="146" t="s">
        <v>358</v>
      </c>
      <c r="C39" s="146" t="s">
        <v>360</v>
      </c>
      <c r="D39" s="146" t="s">
        <v>362</v>
      </c>
      <c r="E39" s="239" t="s">
        <v>364</v>
      </c>
      <c r="F39" s="146" t="s">
        <v>366</v>
      </c>
      <c r="G39" s="239" t="s">
        <v>368</v>
      </c>
      <c r="H39" s="146" t="s">
        <v>481</v>
      </c>
      <c r="I39" s="239" t="s">
        <v>372</v>
      </c>
      <c r="J39" s="146" t="s">
        <v>374</v>
      </c>
      <c r="K39" s="239" t="s">
        <v>376</v>
      </c>
      <c r="L39" s="146" t="s">
        <v>378</v>
      </c>
      <c r="M39" s="146" t="s">
        <v>380</v>
      </c>
      <c r="N39" s="146" t="s">
        <v>513</v>
      </c>
    </row>
    <row r="40" spans="1:15" x14ac:dyDescent="0.25">
      <c r="A40" s="183" t="s">
        <v>235</v>
      </c>
      <c r="B40" s="156"/>
      <c r="C40" s="156"/>
      <c r="D40" s="156"/>
      <c r="E40" s="156"/>
      <c r="F40" s="156"/>
      <c r="G40" s="156"/>
      <c r="H40" s="314"/>
    </row>
    <row r="41" spans="1:15" x14ac:dyDescent="0.25">
      <c r="A41" s="183" t="s">
        <v>236</v>
      </c>
      <c r="B41" s="315"/>
      <c r="C41" s="315"/>
      <c r="D41" s="315"/>
      <c r="E41" s="315"/>
      <c r="F41" s="302"/>
      <c r="G41" s="302"/>
      <c r="H41" s="302"/>
    </row>
    <row r="42" spans="1:15" x14ac:dyDescent="0.25">
      <c r="A42" s="183" t="s">
        <v>237</v>
      </c>
      <c r="B42" s="291">
        <v>17123302</v>
      </c>
      <c r="C42" s="291">
        <v>17524936</v>
      </c>
      <c r="D42" s="291">
        <v>17600406</v>
      </c>
      <c r="E42" s="291">
        <v>21636317</v>
      </c>
      <c r="F42" s="291">
        <v>22298453</v>
      </c>
      <c r="G42" s="291">
        <v>23300643</v>
      </c>
      <c r="H42" s="291">
        <v>23575461</v>
      </c>
      <c r="I42" s="291">
        <v>25127639</v>
      </c>
      <c r="J42" s="291">
        <v>25446259</v>
      </c>
      <c r="K42" s="291">
        <v>24850942</v>
      </c>
      <c r="L42" s="291">
        <v>25738123</v>
      </c>
      <c r="M42" s="291">
        <v>24882817</v>
      </c>
      <c r="N42" s="291">
        <v>25066173</v>
      </c>
      <c r="O42" s="296"/>
    </row>
    <row r="43" spans="1:15" x14ac:dyDescent="0.25">
      <c r="A43" s="183" t="s">
        <v>238</v>
      </c>
      <c r="B43" s="351" t="s">
        <v>482</v>
      </c>
      <c r="C43" s="351" t="s">
        <v>385</v>
      </c>
      <c r="D43" s="351" t="s">
        <v>483</v>
      </c>
      <c r="E43" s="291">
        <v>247057</v>
      </c>
      <c r="F43" s="351" t="s">
        <v>484</v>
      </c>
      <c r="G43" s="291">
        <v>247057</v>
      </c>
      <c r="H43" s="351" t="s">
        <v>485</v>
      </c>
      <c r="I43" s="291">
        <v>247057</v>
      </c>
      <c r="J43" s="291">
        <v>247057</v>
      </c>
      <c r="K43" s="291">
        <v>195155</v>
      </c>
      <c r="L43" s="291">
        <v>195155</v>
      </c>
      <c r="M43" s="291">
        <v>92059</v>
      </c>
      <c r="N43" s="291">
        <v>40156</v>
      </c>
      <c r="O43" s="296"/>
    </row>
    <row r="44" spans="1:15" x14ac:dyDescent="0.25">
      <c r="A44" s="183" t="s">
        <v>398</v>
      </c>
      <c r="B44" s="350"/>
      <c r="C44" s="350"/>
      <c r="D44" s="350"/>
      <c r="E44" s="291">
        <v>1152617</v>
      </c>
      <c r="F44" s="350"/>
      <c r="G44" s="291">
        <v>1182256</v>
      </c>
      <c r="H44" s="350"/>
      <c r="I44" s="291">
        <v>1160005</v>
      </c>
      <c r="J44" s="291">
        <v>1262910</v>
      </c>
      <c r="K44" s="291">
        <v>1604634</v>
      </c>
      <c r="L44" s="291">
        <v>1271029</v>
      </c>
      <c r="M44" s="291">
        <v>1693605</v>
      </c>
      <c r="N44" s="291">
        <v>1292124</v>
      </c>
      <c r="O44" s="296"/>
    </row>
    <row r="45" spans="1:15" x14ac:dyDescent="0.25">
      <c r="A45" s="183" t="s">
        <v>396</v>
      </c>
      <c r="B45" s="291">
        <v>0</v>
      </c>
      <c r="C45" s="291">
        <v>764</v>
      </c>
      <c r="D45" s="291">
        <v>13223</v>
      </c>
      <c r="E45" s="291">
        <v>22717</v>
      </c>
      <c r="F45" s="291">
        <v>22046</v>
      </c>
      <c r="G45" s="291">
        <v>51986</v>
      </c>
      <c r="H45" s="291">
        <v>48079</v>
      </c>
      <c r="I45" s="291">
        <v>44398</v>
      </c>
      <c r="J45" s="291">
        <v>41286</v>
      </c>
      <c r="K45" s="291">
        <v>414584</v>
      </c>
      <c r="L45" s="291">
        <v>417429</v>
      </c>
      <c r="M45" s="291">
        <v>418127</v>
      </c>
      <c r="N45" s="291">
        <v>462202</v>
      </c>
      <c r="O45" s="296"/>
    </row>
    <row r="46" spans="1:15" x14ac:dyDescent="0.25">
      <c r="A46" s="183" t="s">
        <v>243</v>
      </c>
      <c r="B46" s="291">
        <v>208162</v>
      </c>
      <c r="C46" s="291">
        <v>177452</v>
      </c>
      <c r="D46" s="291">
        <v>185086</v>
      </c>
      <c r="E46" s="291">
        <v>193067</v>
      </c>
      <c r="F46" s="291">
        <v>271600</v>
      </c>
      <c r="G46" s="291">
        <v>305444</v>
      </c>
      <c r="H46" s="291">
        <v>377177</v>
      </c>
      <c r="I46" s="291">
        <v>587166</v>
      </c>
      <c r="J46" s="291">
        <v>358775</v>
      </c>
      <c r="K46" s="291">
        <v>377383</v>
      </c>
      <c r="L46" s="291">
        <v>401622</v>
      </c>
      <c r="M46" s="291">
        <v>433018</v>
      </c>
      <c r="N46" s="291">
        <v>463419</v>
      </c>
      <c r="O46" s="296"/>
    </row>
    <row r="47" spans="1:15" x14ac:dyDescent="0.25">
      <c r="A47" s="183" t="s">
        <v>244</v>
      </c>
      <c r="B47" s="291">
        <v>123597</v>
      </c>
      <c r="C47" s="291">
        <v>181832</v>
      </c>
      <c r="D47" s="291">
        <v>138413</v>
      </c>
      <c r="E47" s="291">
        <v>144923</v>
      </c>
      <c r="F47" s="291">
        <v>216155</v>
      </c>
      <c r="G47" s="291">
        <v>359709</v>
      </c>
      <c r="H47" s="291">
        <v>403902</v>
      </c>
      <c r="I47" s="291">
        <v>354704</v>
      </c>
      <c r="J47" s="291">
        <v>568819</v>
      </c>
      <c r="K47" s="291">
        <v>657943</v>
      </c>
      <c r="L47" s="291">
        <v>618471</v>
      </c>
      <c r="M47" s="291">
        <v>550375</v>
      </c>
      <c r="N47" s="291">
        <v>514318</v>
      </c>
      <c r="O47" s="296"/>
    </row>
    <row r="48" spans="1:15" x14ac:dyDescent="0.25">
      <c r="A48" s="202" t="s">
        <v>397</v>
      </c>
      <c r="B48" s="316">
        <v>126835</v>
      </c>
      <c r="C48" s="316">
        <v>163063</v>
      </c>
      <c r="D48" s="316">
        <v>158197</v>
      </c>
      <c r="E48" s="316">
        <v>20079</v>
      </c>
      <c r="F48" s="316">
        <v>25684</v>
      </c>
      <c r="G48" s="316">
        <v>24135</v>
      </c>
      <c r="H48" s="316">
        <v>40791</v>
      </c>
      <c r="I48" s="316">
        <v>46039</v>
      </c>
      <c r="J48" s="316">
        <v>28908</v>
      </c>
      <c r="K48" s="316">
        <v>62108</v>
      </c>
      <c r="L48" s="316">
        <v>49650</v>
      </c>
      <c r="M48" s="316">
        <v>54184</v>
      </c>
      <c r="N48" s="316">
        <v>65730</v>
      </c>
      <c r="O48" s="296"/>
    </row>
    <row r="49" spans="1:15" x14ac:dyDescent="0.25">
      <c r="A49" s="274"/>
      <c r="B49" s="304">
        <v>18242724</v>
      </c>
      <c r="C49" s="304">
        <v>18394387</v>
      </c>
      <c r="D49" s="304">
        <v>18961611</v>
      </c>
      <c r="E49" s="304">
        <v>23416777</v>
      </c>
      <c r="F49" s="304">
        <v>23849197</v>
      </c>
      <c r="G49" s="304">
        <v>25471230</v>
      </c>
      <c r="H49" s="304">
        <v>25933097</v>
      </c>
      <c r="I49" s="304">
        <v>27567008</v>
      </c>
      <c r="J49" s="304">
        <v>27954014</v>
      </c>
      <c r="K49" s="304">
        <v>28162749</v>
      </c>
      <c r="L49" s="304">
        <v>28691479</v>
      </c>
      <c r="M49" s="304">
        <v>28124185</v>
      </c>
      <c r="N49" s="304">
        <v>27904122</v>
      </c>
      <c r="O49" s="296"/>
    </row>
    <row r="50" spans="1:15" x14ac:dyDescent="0.25">
      <c r="A50" s="186" t="s">
        <v>246</v>
      </c>
      <c r="B50" s="291"/>
      <c r="C50" s="304"/>
      <c r="D50" s="291"/>
      <c r="E50" s="291"/>
      <c r="F50" s="291"/>
      <c r="G50" s="291"/>
      <c r="H50" s="291"/>
      <c r="I50" s="291"/>
      <c r="J50" s="291"/>
      <c r="K50" s="296"/>
      <c r="L50" s="291"/>
      <c r="M50" s="291"/>
      <c r="N50" s="291"/>
      <c r="O50" s="296"/>
    </row>
    <row r="51" spans="1:15" x14ac:dyDescent="0.25">
      <c r="A51" s="186" t="s">
        <v>398</v>
      </c>
      <c r="B51" s="138" t="s">
        <v>349</v>
      </c>
      <c r="C51" s="317">
        <v>624190</v>
      </c>
      <c r="D51" s="138" t="s">
        <v>349</v>
      </c>
      <c r="E51" s="318">
        <v>870954</v>
      </c>
      <c r="F51" s="291">
        <v>668742</v>
      </c>
      <c r="G51" s="291">
        <v>711099</v>
      </c>
      <c r="H51" s="291">
        <v>429828</v>
      </c>
      <c r="I51" s="291">
        <v>1156550</v>
      </c>
      <c r="J51" s="291">
        <v>504066</v>
      </c>
      <c r="K51" s="291">
        <v>733048</v>
      </c>
      <c r="L51" s="291">
        <v>646617</v>
      </c>
      <c r="M51" s="291">
        <v>805388</v>
      </c>
      <c r="N51" s="291">
        <v>648516</v>
      </c>
      <c r="O51" s="296"/>
    </row>
    <row r="52" spans="1:15" x14ac:dyDescent="0.25">
      <c r="A52" s="186" t="s">
        <v>247</v>
      </c>
      <c r="B52" s="291">
        <v>439363</v>
      </c>
      <c r="C52" s="304">
        <v>408560</v>
      </c>
      <c r="D52" s="291">
        <v>388935</v>
      </c>
      <c r="E52" s="291">
        <v>574790</v>
      </c>
      <c r="F52" s="291">
        <v>532534</v>
      </c>
      <c r="G52" s="291">
        <v>708282</v>
      </c>
      <c r="H52" s="291">
        <v>464339</v>
      </c>
      <c r="I52" s="291">
        <v>509224</v>
      </c>
      <c r="J52" s="291">
        <v>474560</v>
      </c>
      <c r="K52" s="291">
        <v>527596</v>
      </c>
      <c r="L52" s="291">
        <v>404450</v>
      </c>
      <c r="M52" s="291">
        <v>433279</v>
      </c>
      <c r="N52" s="291">
        <v>404983</v>
      </c>
      <c r="O52" s="296"/>
    </row>
    <row r="53" spans="1:15" x14ac:dyDescent="0.25">
      <c r="A53" s="186" t="s">
        <v>399</v>
      </c>
      <c r="B53" s="291">
        <v>43485</v>
      </c>
      <c r="C53" s="304">
        <v>74749</v>
      </c>
      <c r="D53" s="291">
        <v>14991</v>
      </c>
      <c r="E53" s="291">
        <v>64266</v>
      </c>
      <c r="F53" s="291">
        <v>78389</v>
      </c>
      <c r="G53" s="291">
        <v>1434</v>
      </c>
      <c r="H53" s="291">
        <v>23188</v>
      </c>
      <c r="I53" s="291">
        <v>31890</v>
      </c>
      <c r="J53" s="291">
        <v>92261</v>
      </c>
      <c r="K53" s="291">
        <v>26489</v>
      </c>
      <c r="L53" s="291">
        <v>53805</v>
      </c>
      <c r="M53" s="291">
        <v>909</v>
      </c>
      <c r="N53" s="291">
        <v>27726</v>
      </c>
      <c r="O53" s="296"/>
    </row>
    <row r="54" spans="1:15" x14ac:dyDescent="0.25">
      <c r="A54" s="186" t="s">
        <v>400</v>
      </c>
      <c r="B54" s="291">
        <v>2008653</v>
      </c>
      <c r="C54" s="304">
        <v>2273145</v>
      </c>
      <c r="D54" s="291">
        <v>2422059</v>
      </c>
      <c r="E54" s="291">
        <v>2743344</v>
      </c>
      <c r="F54" s="291">
        <v>2815297</v>
      </c>
      <c r="G54" s="291">
        <v>3036695</v>
      </c>
      <c r="H54" s="291">
        <v>2585447</v>
      </c>
      <c r="I54" s="291">
        <v>2134641</v>
      </c>
      <c r="J54" s="291">
        <v>1933061</v>
      </c>
      <c r="K54" s="291">
        <v>1969169</v>
      </c>
      <c r="L54" s="291">
        <v>1879766</v>
      </c>
      <c r="M54" s="291">
        <v>1854595</v>
      </c>
      <c r="N54" s="291">
        <v>1864857</v>
      </c>
      <c r="O54" s="296"/>
    </row>
    <row r="55" spans="1:15" x14ac:dyDescent="0.25">
      <c r="A55" s="186" t="s">
        <v>243</v>
      </c>
      <c r="B55" s="291">
        <v>42320</v>
      </c>
      <c r="C55" s="304">
        <v>28193</v>
      </c>
      <c r="D55" s="291">
        <v>9745</v>
      </c>
      <c r="E55" s="291">
        <v>108024</v>
      </c>
      <c r="F55" s="291">
        <v>9070</v>
      </c>
      <c r="G55" s="291">
        <v>5422</v>
      </c>
      <c r="H55" s="291">
        <v>11180</v>
      </c>
      <c r="I55" s="291">
        <v>15878</v>
      </c>
      <c r="J55" s="291">
        <v>16510</v>
      </c>
      <c r="K55" s="291">
        <v>27539</v>
      </c>
      <c r="L55" s="291">
        <v>6359</v>
      </c>
      <c r="M55" s="291">
        <v>9772</v>
      </c>
      <c r="N55" s="291">
        <v>83558</v>
      </c>
      <c r="O55" s="296"/>
    </row>
    <row r="56" spans="1:15" x14ac:dyDescent="0.25">
      <c r="A56" s="186" t="s">
        <v>244</v>
      </c>
      <c r="B56" s="291">
        <v>185158</v>
      </c>
      <c r="C56" s="304">
        <v>145361</v>
      </c>
      <c r="D56" s="291">
        <v>226633</v>
      </c>
      <c r="E56" s="291">
        <v>234220</v>
      </c>
      <c r="F56" s="291">
        <v>296724</v>
      </c>
      <c r="G56" s="291">
        <v>272371</v>
      </c>
      <c r="H56" s="291">
        <v>294057</v>
      </c>
      <c r="I56" s="291">
        <v>270429</v>
      </c>
      <c r="J56" s="291">
        <v>342953</v>
      </c>
      <c r="K56" s="291">
        <v>353989</v>
      </c>
      <c r="L56" s="291">
        <v>380516</v>
      </c>
      <c r="M56" s="291">
        <v>460495</v>
      </c>
      <c r="N56" s="291">
        <v>292654</v>
      </c>
      <c r="O56" s="296"/>
    </row>
    <row r="57" spans="1:15" x14ac:dyDescent="0.25">
      <c r="A57" s="186" t="s">
        <v>250</v>
      </c>
      <c r="B57" s="304">
        <v>1049221</v>
      </c>
      <c r="C57" s="304">
        <v>1473981</v>
      </c>
      <c r="D57" s="304">
        <v>1376104</v>
      </c>
      <c r="E57" s="304">
        <v>505670</v>
      </c>
      <c r="F57" s="304">
        <v>705020</v>
      </c>
      <c r="G57" s="304">
        <v>1030929</v>
      </c>
      <c r="H57" s="304">
        <v>912712</v>
      </c>
      <c r="I57" s="304">
        <v>636909</v>
      </c>
      <c r="J57" s="304">
        <v>246144</v>
      </c>
      <c r="K57" s="304">
        <v>1420909</v>
      </c>
      <c r="L57" s="291">
        <v>915135</v>
      </c>
      <c r="M57" s="291">
        <v>364912</v>
      </c>
      <c r="N57" s="291">
        <v>422123</v>
      </c>
      <c r="O57" s="296"/>
    </row>
    <row r="58" spans="1:15" x14ac:dyDescent="0.25">
      <c r="A58" s="319" t="s">
        <v>401</v>
      </c>
      <c r="B58" s="316">
        <v>5778</v>
      </c>
      <c r="C58" s="316">
        <v>4397</v>
      </c>
      <c r="D58" s="316">
        <v>4397</v>
      </c>
      <c r="E58" s="316">
        <v>8951</v>
      </c>
      <c r="F58" s="316">
        <v>13133</v>
      </c>
      <c r="G58" s="316">
        <v>36215</v>
      </c>
      <c r="H58" s="316">
        <v>35833</v>
      </c>
      <c r="I58" s="316">
        <v>33041</v>
      </c>
      <c r="J58" s="316">
        <v>13668</v>
      </c>
      <c r="K58" s="316">
        <v>1337705</v>
      </c>
      <c r="L58" s="316">
        <v>1343947</v>
      </c>
      <c r="M58" s="304">
        <v>17898</v>
      </c>
      <c r="N58" s="304">
        <v>13283</v>
      </c>
      <c r="O58" s="296"/>
    </row>
    <row r="59" spans="1:15" x14ac:dyDescent="0.25">
      <c r="A59" s="183"/>
      <c r="B59" s="291">
        <f>3768200+B58</f>
        <v>3773978</v>
      </c>
      <c r="C59" s="291">
        <f>5028179+C58</f>
        <v>5032576</v>
      </c>
      <c r="D59" s="291">
        <f>4438467+D58</f>
        <v>4442864</v>
      </c>
      <c r="E59" s="291">
        <f>5101268+E58</f>
        <v>5110219</v>
      </c>
      <c r="F59" s="291">
        <f>5105776+F58</f>
        <v>5118909</v>
      </c>
      <c r="G59" s="291">
        <f>5766232+G58</f>
        <v>5802447</v>
      </c>
      <c r="H59" s="291">
        <f>4720751+H58</f>
        <v>4756584</v>
      </c>
      <c r="I59" s="291">
        <f>4755521+I58</f>
        <v>4788562</v>
      </c>
      <c r="J59" s="291">
        <f>3609555+J58</f>
        <v>3623223</v>
      </c>
      <c r="K59" s="291">
        <v>6396444</v>
      </c>
      <c r="L59" s="291">
        <v>5630595</v>
      </c>
      <c r="M59" s="320">
        <v>3947248</v>
      </c>
      <c r="N59" s="320">
        <v>3757700</v>
      </c>
      <c r="O59" s="296"/>
    </row>
    <row r="60" spans="1:15" x14ac:dyDescent="0.25">
      <c r="A60" s="183"/>
      <c r="B60" s="156"/>
      <c r="C60" s="188"/>
      <c r="D60" s="156"/>
      <c r="E60" s="156"/>
      <c r="F60" s="156"/>
      <c r="G60" s="156"/>
      <c r="H60" s="291"/>
      <c r="I60" s="156"/>
      <c r="J60" s="156"/>
      <c r="K60" s="156"/>
      <c r="L60" s="291"/>
      <c r="M60" s="291"/>
      <c r="N60" s="291"/>
      <c r="O60" s="296"/>
    </row>
    <row r="61" spans="1:15" x14ac:dyDescent="0.25">
      <c r="A61" s="147" t="s">
        <v>252</v>
      </c>
      <c r="B61" s="310">
        <v>22016702</v>
      </c>
      <c r="C61" s="310">
        <v>23426963</v>
      </c>
      <c r="D61" s="310">
        <v>23404475</v>
      </c>
      <c r="E61" s="310">
        <v>28526996</v>
      </c>
      <c r="F61" s="310">
        <v>28968106</v>
      </c>
      <c r="G61" s="310">
        <v>31273677</v>
      </c>
      <c r="H61" s="310">
        <v>30689681</v>
      </c>
      <c r="I61" s="310">
        <v>32355570</v>
      </c>
      <c r="J61" s="310">
        <v>31577237</v>
      </c>
      <c r="K61" s="310">
        <v>34559193</v>
      </c>
      <c r="L61" s="310">
        <v>34322074</v>
      </c>
      <c r="M61" s="310">
        <v>32071433</v>
      </c>
      <c r="N61" s="310">
        <v>31661822</v>
      </c>
      <c r="O61" s="296"/>
    </row>
    <row r="62" spans="1:15" x14ac:dyDescent="0.25">
      <c r="A62" s="183"/>
      <c r="B62" s="156"/>
      <c r="C62" s="156"/>
      <c r="D62" s="156"/>
      <c r="E62" s="156"/>
      <c r="F62" s="156"/>
      <c r="G62" s="156"/>
      <c r="H62" s="310"/>
      <c r="I62" s="310"/>
      <c r="J62" s="310"/>
      <c r="K62" s="310"/>
      <c r="L62" s="310"/>
      <c r="M62" s="310"/>
      <c r="N62" s="310"/>
      <c r="O62" s="296"/>
    </row>
    <row r="63" spans="1:15" x14ac:dyDescent="0.25">
      <c r="A63" s="257" t="s">
        <v>253</v>
      </c>
      <c r="B63" s="185"/>
      <c r="C63" s="185"/>
      <c r="D63" s="185"/>
      <c r="E63" s="185"/>
      <c r="F63" s="185"/>
      <c r="G63" s="185"/>
      <c r="H63" s="291"/>
      <c r="J63" s="296"/>
      <c r="K63" s="296"/>
      <c r="L63" s="296"/>
      <c r="M63" s="296"/>
      <c r="N63" s="296"/>
      <c r="O63" s="296"/>
    </row>
    <row r="64" spans="1:15" x14ac:dyDescent="0.25">
      <c r="A64" s="186" t="s">
        <v>254</v>
      </c>
      <c r="B64" s="315"/>
      <c r="C64" s="321"/>
      <c r="D64" s="315"/>
      <c r="E64" s="315"/>
      <c r="F64" s="302"/>
      <c r="G64" s="302"/>
      <c r="H64" s="302"/>
      <c r="J64" s="296"/>
      <c r="K64" s="296"/>
      <c r="L64" s="296"/>
      <c r="M64" s="296"/>
      <c r="N64" s="296"/>
      <c r="O64" s="296"/>
    </row>
    <row r="65" spans="1:15" x14ac:dyDescent="0.25">
      <c r="A65" s="186" t="s">
        <v>255</v>
      </c>
      <c r="B65" s="291">
        <v>14304949</v>
      </c>
      <c r="C65" s="304">
        <v>15772945</v>
      </c>
      <c r="D65" s="291">
        <v>8762747</v>
      </c>
      <c r="E65" s="291">
        <v>8762747</v>
      </c>
      <c r="F65" s="291">
        <v>8762747</v>
      </c>
      <c r="G65" s="291">
        <v>8762747</v>
      </c>
      <c r="H65" s="291">
        <v>8762747</v>
      </c>
      <c r="I65" s="291">
        <v>8762747</v>
      </c>
      <c r="J65" s="291">
        <v>8762747</v>
      </c>
      <c r="K65" s="291">
        <v>8762747</v>
      </c>
      <c r="L65" s="291">
        <v>8762747</v>
      </c>
      <c r="M65" s="291">
        <v>8762747</v>
      </c>
      <c r="N65" s="291">
        <v>8762747</v>
      </c>
      <c r="O65" s="296"/>
    </row>
    <row r="66" spans="1:15" x14ac:dyDescent="0.25">
      <c r="A66" s="186" t="s">
        <v>256</v>
      </c>
      <c r="B66" s="291">
        <v>240209</v>
      </c>
      <c r="C66" s="304">
        <v>475088</v>
      </c>
      <c r="D66" s="291">
        <v>7412882</v>
      </c>
      <c r="E66" s="291">
        <v>7412882</v>
      </c>
      <c r="F66" s="291">
        <v>7953021</v>
      </c>
      <c r="G66" s="291">
        <v>7953021</v>
      </c>
      <c r="H66" s="291">
        <v>9037699</v>
      </c>
      <c r="I66" s="291">
        <v>9037699</v>
      </c>
      <c r="J66" s="291">
        <v>10393686</v>
      </c>
      <c r="K66" s="291">
        <v>10393686</v>
      </c>
      <c r="L66" s="291">
        <v>11277247</v>
      </c>
      <c r="M66" s="291">
        <v>11277247</v>
      </c>
      <c r="N66" s="291">
        <v>7823339</v>
      </c>
      <c r="O66" s="296"/>
    </row>
    <row r="67" spans="1:15" x14ac:dyDescent="0.25">
      <c r="A67" s="186" t="s">
        <v>257</v>
      </c>
      <c r="B67" s="291">
        <v>-6195</v>
      </c>
      <c r="C67" s="304">
        <v>0</v>
      </c>
      <c r="D67" s="291">
        <v>0</v>
      </c>
      <c r="E67" s="291">
        <v>0</v>
      </c>
      <c r="F67" s="291">
        <v>-32514</v>
      </c>
      <c r="G67" s="291">
        <v>-153703</v>
      </c>
      <c r="H67" s="291">
        <v>-123859</v>
      </c>
      <c r="I67" s="291">
        <v>-126651</v>
      </c>
      <c r="J67" s="291">
        <v>-144845</v>
      </c>
      <c r="K67" s="291">
        <v>-143019</v>
      </c>
      <c r="L67" s="291">
        <v>-103630</v>
      </c>
      <c r="M67" s="291">
        <v>-73414</v>
      </c>
      <c r="N67" s="291">
        <v>-33849</v>
      </c>
      <c r="O67" s="296"/>
    </row>
    <row r="68" spans="1:15" x14ac:dyDescent="0.25">
      <c r="A68" s="186" t="s">
        <v>402</v>
      </c>
      <c r="B68" s="291">
        <v>0</v>
      </c>
      <c r="C68" s="304">
        <v>0</v>
      </c>
      <c r="D68" s="291">
        <v>0</v>
      </c>
      <c r="E68" s="291">
        <v>0</v>
      </c>
      <c r="F68" s="291">
        <v>9226</v>
      </c>
      <c r="G68" s="291">
        <v>0</v>
      </c>
      <c r="H68" s="291">
        <v>0</v>
      </c>
      <c r="I68" s="291">
        <v>0</v>
      </c>
      <c r="J68" s="291">
        <v>0</v>
      </c>
      <c r="K68" s="291">
        <v>0</v>
      </c>
      <c r="L68" s="291">
        <v>0</v>
      </c>
      <c r="M68" s="291">
        <v>0</v>
      </c>
      <c r="N68" s="291">
        <v>0</v>
      </c>
      <c r="O68" s="296"/>
    </row>
    <row r="69" spans="1:15" x14ac:dyDescent="0.25">
      <c r="A69" s="186" t="s">
        <v>219</v>
      </c>
      <c r="B69" s="291">
        <v>0</v>
      </c>
      <c r="C69" s="304">
        <v>-271</v>
      </c>
      <c r="D69" s="291">
        <v>-120</v>
      </c>
      <c r="E69" s="291">
        <v>87</v>
      </c>
      <c r="F69" s="291">
        <v>-164</v>
      </c>
      <c r="G69" s="291">
        <v>-370</v>
      </c>
      <c r="H69" s="291">
        <v>-11</v>
      </c>
      <c r="I69" s="291">
        <v>-1631</v>
      </c>
      <c r="J69" s="291">
        <v>-1590</v>
      </c>
      <c r="K69" s="291">
        <v>-1386</v>
      </c>
      <c r="L69" s="291">
        <v>-1358</v>
      </c>
      <c r="M69" s="291">
        <v>-791</v>
      </c>
      <c r="N69" s="291">
        <v>9131</v>
      </c>
      <c r="O69" s="296"/>
    </row>
    <row r="70" spans="1:15" x14ac:dyDescent="0.25">
      <c r="A70" s="190" t="s">
        <v>403</v>
      </c>
      <c r="B70" s="316">
        <v>-2031013</v>
      </c>
      <c r="C70" s="316">
        <v>-1641605</v>
      </c>
      <c r="D70" s="316">
        <v>-1018094</v>
      </c>
      <c r="E70" s="316">
        <v>-481414</v>
      </c>
      <c r="F70" s="316">
        <v>-728008</v>
      </c>
      <c r="G70" s="316">
        <v>-255014</v>
      </c>
      <c r="H70" s="316">
        <v>-909855</v>
      </c>
      <c r="I70" s="316">
        <v>-344999</v>
      </c>
      <c r="J70" s="316">
        <v>-1216944</v>
      </c>
      <c r="K70" s="316">
        <v>-1045580</v>
      </c>
      <c r="L70" s="316">
        <v>-1472252</v>
      </c>
      <c r="M70" s="304">
        <v>-3947461</v>
      </c>
      <c r="N70" s="304">
        <v>-505261</v>
      </c>
      <c r="O70" s="296"/>
    </row>
    <row r="71" spans="1:15" x14ac:dyDescent="0.25">
      <c r="A71" s="183"/>
      <c r="B71" s="291">
        <v>12507950</v>
      </c>
      <c r="C71" s="291">
        <v>14606157</v>
      </c>
      <c r="D71" s="291">
        <v>15157415</v>
      </c>
      <c r="E71" s="291">
        <v>15694302</v>
      </c>
      <c r="F71" s="291">
        <v>15964308</v>
      </c>
      <c r="G71" s="291">
        <v>16306681</v>
      </c>
      <c r="H71" s="291">
        <v>16766721</v>
      </c>
      <c r="I71" s="291">
        <v>17327165</v>
      </c>
      <c r="J71" s="291">
        <v>17793054</v>
      </c>
      <c r="K71" s="291">
        <v>17966448</v>
      </c>
      <c r="L71" s="291">
        <v>18462754</v>
      </c>
      <c r="M71" s="320">
        <v>16018328</v>
      </c>
      <c r="N71" s="320">
        <v>16056107</v>
      </c>
      <c r="O71" s="296"/>
    </row>
    <row r="72" spans="1:15" x14ac:dyDescent="0.25">
      <c r="A72" s="183"/>
      <c r="B72" s="156"/>
      <c r="C72" s="156"/>
      <c r="D72" s="156"/>
      <c r="E72" s="156"/>
      <c r="F72" s="156"/>
      <c r="G72" s="291"/>
      <c r="H72" s="291"/>
      <c r="I72" s="291"/>
      <c r="J72" s="291"/>
      <c r="K72" s="291"/>
      <c r="L72" s="291">
        <v>0</v>
      </c>
      <c r="M72" s="291">
        <v>0</v>
      </c>
      <c r="N72" s="291"/>
      <c r="O72" s="296"/>
    </row>
    <row r="73" spans="1:15" x14ac:dyDescent="0.25">
      <c r="A73" s="183" t="s">
        <v>259</v>
      </c>
      <c r="B73" s="291">
        <v>2289945</v>
      </c>
      <c r="C73" s="291">
        <v>496279</v>
      </c>
      <c r="D73" s="291">
        <v>479419</v>
      </c>
      <c r="E73" s="291">
        <v>455203</v>
      </c>
      <c r="F73" s="291">
        <v>474902</v>
      </c>
      <c r="G73" s="291">
        <v>493339</v>
      </c>
      <c r="H73" s="291">
        <v>526444</v>
      </c>
      <c r="I73" s="291">
        <v>466334</v>
      </c>
      <c r="J73" s="291">
        <v>29574</v>
      </c>
      <c r="K73" s="291">
        <v>30116</v>
      </c>
      <c r="L73" s="291">
        <v>29040</v>
      </c>
      <c r="M73" s="291">
        <v>29829</v>
      </c>
      <c r="N73" s="291">
        <v>28016</v>
      </c>
      <c r="O73" s="296"/>
    </row>
    <row r="74" spans="1:15" x14ac:dyDescent="0.25">
      <c r="A74" s="183"/>
      <c r="B74" s="291"/>
      <c r="C74" s="291"/>
      <c r="D74" s="291"/>
      <c r="E74" s="291"/>
      <c r="F74" s="291"/>
      <c r="G74" s="291"/>
      <c r="H74" s="291"/>
      <c r="I74" s="291"/>
      <c r="J74" s="291"/>
      <c r="K74" s="291"/>
      <c r="L74" s="291">
        <v>0</v>
      </c>
      <c r="M74" s="291">
        <v>0</v>
      </c>
      <c r="N74" s="291"/>
      <c r="O74" s="296"/>
    </row>
    <row r="75" spans="1:15" x14ac:dyDescent="0.25">
      <c r="A75" s="196" t="s">
        <v>260</v>
      </c>
      <c r="B75" s="310">
        <v>14797895</v>
      </c>
      <c r="C75" s="310">
        <v>15102436</v>
      </c>
      <c r="D75" s="310">
        <v>15636834</v>
      </c>
      <c r="E75" s="310">
        <v>16149505</v>
      </c>
      <c r="F75" s="310">
        <v>16439210</v>
      </c>
      <c r="G75" s="310">
        <v>16800020</v>
      </c>
      <c r="H75" s="310">
        <v>17293165</v>
      </c>
      <c r="I75" s="310">
        <v>17793499</v>
      </c>
      <c r="J75" s="310">
        <v>17822628</v>
      </c>
      <c r="K75" s="310">
        <v>17996564</v>
      </c>
      <c r="L75" s="310">
        <v>18491794</v>
      </c>
      <c r="M75" s="310">
        <v>16048157</v>
      </c>
      <c r="N75" s="310">
        <v>16084123</v>
      </c>
      <c r="O75" s="296"/>
    </row>
    <row r="76" spans="1:15" x14ac:dyDescent="0.25">
      <c r="A76" s="183"/>
      <c r="B76" s="251"/>
      <c r="C76" s="251"/>
      <c r="D76" s="251"/>
      <c r="E76" s="251"/>
      <c r="F76" s="251"/>
      <c r="G76" s="251"/>
      <c r="H76" s="310"/>
      <c r="I76" s="310"/>
      <c r="J76" s="310"/>
      <c r="K76" s="310"/>
      <c r="L76" s="310">
        <v>0</v>
      </c>
      <c r="M76" s="310">
        <v>0</v>
      </c>
      <c r="N76" s="310"/>
      <c r="O76" s="296"/>
    </row>
    <row r="77" spans="1:15" x14ac:dyDescent="0.25">
      <c r="A77" s="257" t="s">
        <v>261</v>
      </c>
      <c r="B77" s="315"/>
      <c r="C77" s="321"/>
      <c r="D77" s="315"/>
      <c r="E77" s="315"/>
      <c r="F77" s="302"/>
      <c r="G77" s="302"/>
      <c r="H77" s="302"/>
      <c r="I77" s="302"/>
      <c r="J77" s="296"/>
      <c r="K77" s="296"/>
      <c r="L77" s="296">
        <v>0</v>
      </c>
      <c r="M77" s="296">
        <v>0</v>
      </c>
      <c r="N77" s="296"/>
      <c r="O77" s="296"/>
    </row>
    <row r="78" spans="1:15" ht="15.75" x14ac:dyDescent="0.25">
      <c r="A78" s="186" t="s">
        <v>404</v>
      </c>
      <c r="B78" s="291">
        <v>989098</v>
      </c>
      <c r="C78" s="304">
        <v>1076178</v>
      </c>
      <c r="D78" s="291">
        <v>1045564</v>
      </c>
      <c r="E78" s="291">
        <v>4251944</v>
      </c>
      <c r="F78" s="291">
        <v>4883367</v>
      </c>
      <c r="G78" s="291">
        <v>5222882</v>
      </c>
      <c r="H78" s="291">
        <v>5606826</v>
      </c>
      <c r="I78" s="291">
        <v>5500532</v>
      </c>
      <c r="J78" s="291">
        <v>6005603</v>
      </c>
      <c r="K78" s="291">
        <v>7422332</v>
      </c>
      <c r="L78" s="291">
        <v>7367670</v>
      </c>
      <c r="M78" s="322">
        <v>4890404</v>
      </c>
      <c r="N78" s="322">
        <v>7727666</v>
      </c>
      <c r="O78" s="296"/>
    </row>
    <row r="79" spans="1:15" ht="15.75" x14ac:dyDescent="0.25">
      <c r="A79" s="186" t="s">
        <v>405</v>
      </c>
      <c r="B79" s="291">
        <v>75115</v>
      </c>
      <c r="C79" s="304">
        <v>67810</v>
      </c>
      <c r="D79" s="291">
        <v>61246</v>
      </c>
      <c r="E79" s="291">
        <v>56232</v>
      </c>
      <c r="F79" s="291">
        <v>48780</v>
      </c>
      <c r="G79" s="291">
        <v>41796</v>
      </c>
      <c r="H79" s="291">
        <v>34874</v>
      </c>
      <c r="I79" s="291">
        <v>61643</v>
      </c>
      <c r="J79" s="291">
        <v>52858</v>
      </c>
      <c r="K79" s="291">
        <v>46443</v>
      </c>
      <c r="L79" s="291">
        <v>39652</v>
      </c>
      <c r="M79" s="322">
        <v>33723</v>
      </c>
      <c r="N79" s="322">
        <v>26661</v>
      </c>
      <c r="O79" s="296"/>
    </row>
    <row r="80" spans="1:15" ht="15.75" x14ac:dyDescent="0.25">
      <c r="A80" s="186" t="s">
        <v>406</v>
      </c>
      <c r="B80" s="291">
        <v>8041</v>
      </c>
      <c r="C80" s="304">
        <v>6910</v>
      </c>
      <c r="D80" s="291">
        <v>6213</v>
      </c>
      <c r="E80" s="291">
        <v>7968</v>
      </c>
      <c r="F80" s="291">
        <v>7197</v>
      </c>
      <c r="G80" s="291">
        <v>7890</v>
      </c>
      <c r="H80" s="291">
        <v>9180</v>
      </c>
      <c r="I80" s="291">
        <v>7827</v>
      </c>
      <c r="J80" s="291">
        <v>46841</v>
      </c>
      <c r="K80" s="291">
        <v>48986</v>
      </c>
      <c r="L80" s="291">
        <v>64058</v>
      </c>
      <c r="M80" s="322">
        <v>86549</v>
      </c>
      <c r="N80" s="322">
        <v>47775</v>
      </c>
      <c r="O80" s="296"/>
    </row>
    <row r="81" spans="1:15" ht="15.75" x14ac:dyDescent="0.25">
      <c r="A81" s="186" t="s">
        <v>407</v>
      </c>
      <c r="B81" s="138" t="s">
        <v>408</v>
      </c>
      <c r="C81" s="304">
        <v>0</v>
      </c>
      <c r="D81" s="138" t="s">
        <v>408</v>
      </c>
      <c r="E81" s="304">
        <v>0</v>
      </c>
      <c r="F81" s="138" t="s">
        <v>408</v>
      </c>
      <c r="G81" s="291">
        <v>150594</v>
      </c>
      <c r="H81" s="291">
        <v>83862</v>
      </c>
      <c r="I81" s="291">
        <v>87573</v>
      </c>
      <c r="J81" s="291">
        <v>103198</v>
      </c>
      <c r="K81" s="291">
        <v>93501</v>
      </c>
      <c r="L81" s="291">
        <v>93800</v>
      </c>
      <c r="M81" s="322">
        <v>15156</v>
      </c>
      <c r="N81" s="322">
        <v>12</v>
      </c>
      <c r="O81" s="296"/>
    </row>
    <row r="82" spans="1:15" ht="15.75" x14ac:dyDescent="0.25">
      <c r="A82" s="186" t="s">
        <v>263</v>
      </c>
      <c r="B82" s="352" t="s">
        <v>410</v>
      </c>
      <c r="C82" s="317">
        <v>1158941</v>
      </c>
      <c r="D82" s="352" t="s">
        <v>413</v>
      </c>
      <c r="E82" s="318">
        <v>1203375</v>
      </c>
      <c r="F82" s="352" t="s">
        <v>416</v>
      </c>
      <c r="G82" s="291">
        <v>1568219</v>
      </c>
      <c r="H82" s="291">
        <v>1543852</v>
      </c>
      <c r="I82" s="291">
        <v>1497814</v>
      </c>
      <c r="J82" s="291">
        <v>1494542</v>
      </c>
      <c r="K82" s="291">
        <v>1948323</v>
      </c>
      <c r="L82" s="291">
        <v>1940365</v>
      </c>
      <c r="M82" s="322">
        <v>1735206</v>
      </c>
      <c r="N82" s="322">
        <v>1767471</v>
      </c>
      <c r="O82" s="296"/>
    </row>
    <row r="83" spans="1:15" ht="15.75" x14ac:dyDescent="0.25">
      <c r="A83" s="186" t="s">
        <v>418</v>
      </c>
      <c r="B83" s="353"/>
      <c r="C83" s="304">
        <v>30861</v>
      </c>
      <c r="D83" s="353"/>
      <c r="E83" s="291">
        <v>61200</v>
      </c>
      <c r="F83" s="353"/>
      <c r="G83" s="291">
        <v>82523</v>
      </c>
      <c r="H83" s="291">
        <v>84558</v>
      </c>
      <c r="I83" s="291">
        <v>141408</v>
      </c>
      <c r="J83" s="291">
        <v>140542</v>
      </c>
      <c r="K83" s="291">
        <v>165278</v>
      </c>
      <c r="L83" s="291">
        <v>166795</v>
      </c>
      <c r="M83" s="322">
        <v>377372</v>
      </c>
      <c r="N83" s="322">
        <v>442561</v>
      </c>
      <c r="O83" s="296"/>
    </row>
    <row r="84" spans="1:15" ht="15.75" x14ac:dyDescent="0.25">
      <c r="A84" s="186" t="s">
        <v>265</v>
      </c>
      <c r="B84" s="291">
        <v>610845</v>
      </c>
      <c r="C84" s="304">
        <v>644522</v>
      </c>
      <c r="D84" s="291">
        <v>637279</v>
      </c>
      <c r="E84" s="291">
        <v>569562</v>
      </c>
      <c r="F84" s="291">
        <v>630731</v>
      </c>
      <c r="G84" s="291">
        <v>639643</v>
      </c>
      <c r="H84" s="291">
        <v>729055</v>
      </c>
      <c r="I84" s="291">
        <v>668487</v>
      </c>
      <c r="J84" s="291">
        <v>680537</v>
      </c>
      <c r="K84" s="291">
        <v>662072</v>
      </c>
      <c r="L84" s="291">
        <v>643584</v>
      </c>
      <c r="M84" s="322">
        <v>650364</v>
      </c>
      <c r="N84" s="322">
        <v>642503</v>
      </c>
      <c r="O84" s="296"/>
    </row>
    <row r="85" spans="1:15" ht="15.75" x14ac:dyDescent="0.25">
      <c r="A85" s="202" t="s">
        <v>486</v>
      </c>
      <c r="B85" s="316">
        <v>1183700</v>
      </c>
      <c r="C85" s="316">
        <v>1191155</v>
      </c>
      <c r="D85" s="316">
        <v>1280221</v>
      </c>
      <c r="E85" s="316">
        <v>1388424</v>
      </c>
      <c r="F85" s="316">
        <v>1425554</v>
      </c>
      <c r="G85" s="316">
        <v>1367687</v>
      </c>
      <c r="H85" s="316">
        <v>1380064</v>
      </c>
      <c r="I85" s="316">
        <v>1339057</v>
      </c>
      <c r="J85" s="316">
        <v>1451536</v>
      </c>
      <c r="K85" s="316">
        <v>1357157</v>
      </c>
      <c r="L85" s="316">
        <v>1461528</v>
      </c>
      <c r="M85" s="323">
        <v>795176</v>
      </c>
      <c r="N85" s="323">
        <v>732661</v>
      </c>
      <c r="O85" s="296"/>
    </row>
    <row r="86" spans="1:15" x14ac:dyDescent="0.25">
      <c r="A86" s="274"/>
      <c r="B86" s="304">
        <v>3860387</v>
      </c>
      <c r="C86" s="304">
        <v>4176377</v>
      </c>
      <c r="D86" s="304">
        <v>4115836</v>
      </c>
      <c r="E86" s="304">
        <v>7538705</v>
      </c>
      <c r="F86" s="304">
        <v>8189894</v>
      </c>
      <c r="G86" s="304">
        <v>9081234</v>
      </c>
      <c r="H86" s="304">
        <v>9472271</v>
      </c>
      <c r="I86" s="304">
        <v>9304341</v>
      </c>
      <c r="J86" s="304">
        <v>9975657</v>
      </c>
      <c r="K86" s="304">
        <v>11744092</v>
      </c>
      <c r="L86" s="304">
        <v>11777452</v>
      </c>
      <c r="M86" s="304">
        <v>8583950</v>
      </c>
      <c r="N86" s="304">
        <v>11387310</v>
      </c>
      <c r="O86" s="296"/>
    </row>
    <row r="87" spans="1:15" x14ac:dyDescent="0.25">
      <c r="A87" s="186" t="s">
        <v>268</v>
      </c>
      <c r="B87" s="315"/>
      <c r="C87" s="321"/>
      <c r="E87" s="315"/>
      <c r="F87" s="302"/>
      <c r="G87" s="302"/>
      <c r="H87" s="302"/>
      <c r="I87" s="302"/>
      <c r="J87" s="302"/>
      <c r="K87" s="296"/>
      <c r="L87" s="296">
        <v>0</v>
      </c>
      <c r="M87" s="296">
        <v>0</v>
      </c>
      <c r="N87" s="296"/>
      <c r="O87" s="296"/>
    </row>
    <row r="88" spans="1:15" ht="15.75" x14ac:dyDescent="0.25">
      <c r="A88" s="186" t="s">
        <v>420</v>
      </c>
      <c r="B88" s="291">
        <v>534404</v>
      </c>
      <c r="C88" s="304">
        <v>325027</v>
      </c>
      <c r="D88" s="291">
        <v>195849</v>
      </c>
      <c r="E88" s="291">
        <v>214169</v>
      </c>
      <c r="F88" s="291">
        <v>197340</v>
      </c>
      <c r="G88" s="291">
        <v>286990</v>
      </c>
      <c r="H88" s="291">
        <v>286568</v>
      </c>
      <c r="I88" s="291">
        <v>284633</v>
      </c>
      <c r="J88" s="291">
        <v>338249</v>
      </c>
      <c r="K88" s="291">
        <v>631530</v>
      </c>
      <c r="L88" s="291">
        <v>513116</v>
      </c>
      <c r="M88" s="322">
        <v>3201805</v>
      </c>
      <c r="N88" s="322">
        <v>1055557</v>
      </c>
      <c r="O88" s="296"/>
    </row>
    <row r="89" spans="1:15" ht="15.75" x14ac:dyDescent="0.25">
      <c r="A89" s="186" t="s">
        <v>421</v>
      </c>
      <c r="B89" s="291">
        <v>31777</v>
      </c>
      <c r="C89" s="304">
        <v>23452</v>
      </c>
      <c r="D89" s="291">
        <v>17786</v>
      </c>
      <c r="E89" s="291">
        <v>14761</v>
      </c>
      <c r="F89" s="291">
        <v>14701</v>
      </c>
      <c r="G89" s="291">
        <v>14482</v>
      </c>
      <c r="H89" s="291">
        <v>14662</v>
      </c>
      <c r="I89" s="291">
        <v>17327</v>
      </c>
      <c r="J89" s="291">
        <v>17171</v>
      </c>
      <c r="K89" s="291">
        <v>13461</v>
      </c>
      <c r="L89" s="291">
        <v>13114</v>
      </c>
      <c r="M89" s="322">
        <v>12715</v>
      </c>
      <c r="N89" s="322">
        <v>15163</v>
      </c>
      <c r="O89" s="296"/>
    </row>
    <row r="90" spans="1:15" ht="15.75" x14ac:dyDescent="0.25">
      <c r="A90" s="186" t="s">
        <v>422</v>
      </c>
      <c r="B90" s="291">
        <f>1127523</f>
        <v>1127523</v>
      </c>
      <c r="C90" s="304">
        <v>1622806</v>
      </c>
      <c r="D90" s="291">
        <f>1479792</f>
        <v>1479792</v>
      </c>
      <c r="E90" s="291">
        <v>2349121</v>
      </c>
      <c r="F90" s="291">
        <f>2131516</f>
        <v>2131516</v>
      </c>
      <c r="G90" s="291">
        <v>2628449</v>
      </c>
      <c r="H90" s="291">
        <v>1541706</v>
      </c>
      <c r="I90" s="291">
        <v>2023537</v>
      </c>
      <c r="J90" s="291">
        <v>1625291</v>
      </c>
      <c r="K90" s="291">
        <v>1866865</v>
      </c>
      <c r="L90" s="291">
        <v>1702823</v>
      </c>
      <c r="M90" s="322">
        <v>1801262</v>
      </c>
      <c r="N90" s="322">
        <v>1245369</v>
      </c>
      <c r="O90" s="296"/>
    </row>
    <row r="91" spans="1:15" ht="15.75" x14ac:dyDescent="0.25">
      <c r="A91" s="186" t="s">
        <v>407</v>
      </c>
      <c r="B91" s="138" t="s">
        <v>408</v>
      </c>
      <c r="C91" s="304">
        <v>6917</v>
      </c>
      <c r="D91" s="138" t="s">
        <v>408</v>
      </c>
      <c r="E91" s="304">
        <v>80</v>
      </c>
      <c r="F91" s="138" t="s">
        <v>408</v>
      </c>
      <c r="G91" s="291">
        <v>40624</v>
      </c>
      <c r="H91" s="291">
        <v>74161</v>
      </c>
      <c r="I91" s="291">
        <v>73358</v>
      </c>
      <c r="J91" s="291">
        <v>80218</v>
      </c>
      <c r="K91" s="291">
        <v>102615</v>
      </c>
      <c r="L91" s="291">
        <v>98289</v>
      </c>
      <c r="M91" s="322">
        <v>96953</v>
      </c>
      <c r="N91" s="322">
        <v>125840</v>
      </c>
      <c r="O91" s="296"/>
    </row>
    <row r="92" spans="1:15" ht="15.75" x14ac:dyDescent="0.25">
      <c r="A92" s="186" t="s">
        <v>263</v>
      </c>
      <c r="B92" s="352" t="s">
        <v>424</v>
      </c>
      <c r="C92" s="317">
        <v>169492</v>
      </c>
      <c r="D92" s="352" t="s">
        <v>427</v>
      </c>
      <c r="E92" s="318">
        <v>153676</v>
      </c>
      <c r="F92" s="352" t="s">
        <v>430</v>
      </c>
      <c r="G92" s="291">
        <v>167704</v>
      </c>
      <c r="H92" s="291">
        <v>165595</v>
      </c>
      <c r="I92" s="291">
        <v>162368</v>
      </c>
      <c r="J92" s="291">
        <v>142315</v>
      </c>
      <c r="K92" s="291">
        <v>158954</v>
      </c>
      <c r="L92" s="291">
        <v>128598</v>
      </c>
      <c r="M92" s="322">
        <v>172505</v>
      </c>
      <c r="N92" s="322">
        <v>146575</v>
      </c>
      <c r="O92" s="296"/>
    </row>
    <row r="93" spans="1:15" ht="15.75" x14ac:dyDescent="0.25">
      <c r="A93" s="186" t="s">
        <v>418</v>
      </c>
      <c r="B93" s="353"/>
      <c r="C93" s="304">
        <v>989253</v>
      </c>
      <c r="D93" s="353"/>
      <c r="E93" s="291">
        <v>1023328</v>
      </c>
      <c r="F93" s="353"/>
      <c r="G93" s="291">
        <v>1103036</v>
      </c>
      <c r="H93" s="291">
        <v>753330</v>
      </c>
      <c r="I93" s="291">
        <v>1563019</v>
      </c>
      <c r="J93" s="291">
        <v>671999</v>
      </c>
      <c r="K93" s="291">
        <v>1081415</v>
      </c>
      <c r="L93" s="291">
        <v>611345</v>
      </c>
      <c r="M93" s="322">
        <v>1196178</v>
      </c>
      <c r="N93" s="322">
        <v>706776</v>
      </c>
      <c r="O93" s="296"/>
    </row>
    <row r="94" spans="1:15" ht="15.75" x14ac:dyDescent="0.25">
      <c r="A94" s="186" t="s">
        <v>265</v>
      </c>
      <c r="B94" s="291">
        <v>238590</v>
      </c>
      <c r="C94" s="304">
        <v>189712</v>
      </c>
      <c r="D94" s="291">
        <v>280809</v>
      </c>
      <c r="E94" s="291">
        <v>275147</v>
      </c>
      <c r="F94" s="291">
        <v>294764</v>
      </c>
      <c r="G94" s="291">
        <v>268870</v>
      </c>
      <c r="H94" s="291">
        <v>399562</v>
      </c>
      <c r="I94" s="291">
        <v>239639</v>
      </c>
      <c r="J94" s="291">
        <v>313347</v>
      </c>
      <c r="K94" s="291">
        <v>245520</v>
      </c>
      <c r="L94" s="291">
        <v>293190</v>
      </c>
      <c r="M94" s="322">
        <v>254337</v>
      </c>
      <c r="N94" s="322">
        <v>304205</v>
      </c>
      <c r="O94" s="296"/>
    </row>
    <row r="95" spans="1:15" ht="15.75" x14ac:dyDescent="0.25">
      <c r="A95" s="186" t="s">
        <v>432</v>
      </c>
      <c r="B95" s="291">
        <v>68663</v>
      </c>
      <c r="C95" s="304">
        <v>68672</v>
      </c>
      <c r="D95" s="291">
        <v>76310</v>
      </c>
      <c r="E95" s="291">
        <v>163437</v>
      </c>
      <c r="F95" s="291">
        <v>45975</v>
      </c>
      <c r="G95" s="291">
        <v>113034</v>
      </c>
      <c r="H95" s="291">
        <v>63354</v>
      </c>
      <c r="I95" s="291">
        <v>79035</v>
      </c>
      <c r="J95" s="291">
        <v>1786</v>
      </c>
      <c r="K95" s="291">
        <v>13518</v>
      </c>
      <c r="L95" s="291">
        <v>1312</v>
      </c>
      <c r="M95" s="322">
        <v>85357</v>
      </c>
      <c r="N95" s="322">
        <v>681</v>
      </c>
      <c r="O95" s="296"/>
    </row>
    <row r="96" spans="1:15" ht="15.75" x14ac:dyDescent="0.25">
      <c r="A96" s="186" t="s">
        <v>275</v>
      </c>
      <c r="B96" s="304">
        <v>639528</v>
      </c>
      <c r="C96" s="304">
        <v>752819</v>
      </c>
      <c r="D96" s="304">
        <v>686263</v>
      </c>
      <c r="E96" s="304">
        <v>645067</v>
      </c>
      <c r="F96" s="304">
        <v>796374</v>
      </c>
      <c r="G96" s="304">
        <v>769234</v>
      </c>
      <c r="H96" s="304">
        <v>625307</v>
      </c>
      <c r="I96" s="304">
        <v>814814</v>
      </c>
      <c r="J96" s="304">
        <v>588576</v>
      </c>
      <c r="K96" s="304">
        <v>619689</v>
      </c>
      <c r="L96" s="304">
        <v>606884</v>
      </c>
      <c r="M96" s="322">
        <v>618214</v>
      </c>
      <c r="N96" s="322">
        <v>590223</v>
      </c>
      <c r="O96" s="296"/>
    </row>
    <row r="97" spans="1:15" ht="15.75" x14ac:dyDescent="0.25">
      <c r="A97" s="190" t="s">
        <v>433</v>
      </c>
      <c r="B97" s="316">
        <v>0</v>
      </c>
      <c r="C97" s="316">
        <v>0</v>
      </c>
      <c r="D97" s="316">
        <v>0</v>
      </c>
      <c r="E97" s="316">
        <v>0</v>
      </c>
      <c r="F97" s="316">
        <v>0</v>
      </c>
      <c r="G97" s="316">
        <v>0</v>
      </c>
      <c r="H97" s="316">
        <v>0</v>
      </c>
      <c r="I97" s="316">
        <v>0</v>
      </c>
      <c r="J97" s="316">
        <v>0</v>
      </c>
      <c r="K97" s="316">
        <v>84970</v>
      </c>
      <c r="L97" s="316">
        <v>84157</v>
      </c>
      <c r="M97" s="323">
        <v>0</v>
      </c>
      <c r="N97" s="323">
        <v>0</v>
      </c>
      <c r="O97" s="296"/>
    </row>
    <row r="98" spans="1:15" x14ac:dyDescent="0.25">
      <c r="A98" s="183"/>
      <c r="B98" s="291">
        <v>3358420</v>
      </c>
      <c r="C98" s="291">
        <v>4148150</v>
      </c>
      <c r="D98" s="291">
        <v>3651805</v>
      </c>
      <c r="E98" s="291">
        <v>4838786</v>
      </c>
      <c r="F98" s="291">
        <v>4339002</v>
      </c>
      <c r="G98" s="291">
        <v>5392423</v>
      </c>
      <c r="H98" s="291">
        <v>3924245</v>
      </c>
      <c r="I98" s="291">
        <v>5257730</v>
      </c>
      <c r="J98" s="291">
        <v>3778952</v>
      </c>
      <c r="K98" s="291">
        <v>4818537</v>
      </c>
      <c r="L98" s="291">
        <v>4052828</v>
      </c>
      <c r="M98" s="304">
        <v>7439326</v>
      </c>
      <c r="N98" s="304">
        <v>4190389</v>
      </c>
      <c r="O98" s="296"/>
    </row>
    <row r="99" spans="1:15" x14ac:dyDescent="0.25">
      <c r="A99" s="183"/>
      <c r="B99" s="156"/>
      <c r="C99" s="156"/>
      <c r="D99" s="156"/>
      <c r="E99" s="156"/>
      <c r="F99" s="156"/>
      <c r="G99" s="291"/>
      <c r="H99" s="291"/>
      <c r="I99" s="291"/>
      <c r="J99" s="291"/>
      <c r="K99" s="296"/>
      <c r="L99" s="296">
        <v>0</v>
      </c>
      <c r="M99" s="304">
        <v>0</v>
      </c>
      <c r="N99" s="304"/>
      <c r="O99" s="296"/>
    </row>
    <row r="100" spans="1:15" x14ac:dyDescent="0.25">
      <c r="A100" s="196" t="s">
        <v>276</v>
      </c>
      <c r="B100" s="310">
        <v>7218807</v>
      </c>
      <c r="C100" s="310">
        <v>8324527</v>
      </c>
      <c r="D100" s="310">
        <v>7767641</v>
      </c>
      <c r="E100" s="310">
        <v>12377491</v>
      </c>
      <c r="F100" s="310">
        <v>12528896</v>
      </c>
      <c r="G100" s="310">
        <v>14473657</v>
      </c>
      <c r="H100" s="310">
        <v>13396516</v>
      </c>
      <c r="I100" s="310">
        <v>14562071</v>
      </c>
      <c r="J100" s="310">
        <v>13754609</v>
      </c>
      <c r="K100" s="310">
        <v>16562629</v>
      </c>
      <c r="L100" s="310">
        <v>15830280</v>
      </c>
      <c r="M100" s="320">
        <v>16023276</v>
      </c>
      <c r="N100" s="320">
        <v>15577699</v>
      </c>
      <c r="O100" s="296"/>
    </row>
    <row r="101" spans="1:15" x14ac:dyDescent="0.25">
      <c r="A101" s="183"/>
      <c r="B101" s="291"/>
      <c r="C101" s="291"/>
      <c r="D101" s="291"/>
      <c r="E101" s="291"/>
      <c r="F101" s="291"/>
      <c r="G101" s="291"/>
      <c r="H101" s="291"/>
      <c r="I101" s="291"/>
      <c r="J101" s="291"/>
      <c r="K101" s="296"/>
      <c r="L101" s="296">
        <v>0</v>
      </c>
      <c r="M101" s="320">
        <v>0</v>
      </c>
      <c r="N101" s="320"/>
      <c r="O101" s="296"/>
    </row>
    <row r="102" spans="1:15" x14ac:dyDescent="0.25">
      <c r="A102" s="147" t="s">
        <v>277</v>
      </c>
      <c r="B102" s="310">
        <v>22016701.5</v>
      </c>
      <c r="C102" s="310">
        <v>23426963</v>
      </c>
      <c r="D102" s="310">
        <v>23404475</v>
      </c>
      <c r="E102" s="310">
        <v>28526996</v>
      </c>
      <c r="F102" s="310">
        <v>28968106</v>
      </c>
      <c r="G102" s="310">
        <v>31273677</v>
      </c>
      <c r="H102" s="310">
        <v>30689681</v>
      </c>
      <c r="I102" s="310">
        <v>32355570</v>
      </c>
      <c r="J102" s="310">
        <v>31577237</v>
      </c>
      <c r="K102" s="310">
        <v>34559193</v>
      </c>
      <c r="L102" s="310">
        <v>34322074</v>
      </c>
      <c r="M102" s="324">
        <v>32071433</v>
      </c>
      <c r="N102" s="324">
        <v>31661822</v>
      </c>
      <c r="O102" s="296"/>
    </row>
    <row r="103" spans="1:15" x14ac:dyDescent="0.25">
      <c r="B103" s="245"/>
      <c r="C103" s="245"/>
      <c r="D103" s="315"/>
      <c r="E103" s="245"/>
      <c r="F103" s="302"/>
      <c r="G103" s="325"/>
      <c r="H103" s="325"/>
    </row>
    <row r="104" spans="1:15" ht="15.75" x14ac:dyDescent="0.25">
      <c r="A104" s="269" t="s">
        <v>278</v>
      </c>
      <c r="B104" s="286"/>
      <c r="C104" s="286"/>
      <c r="D104" s="286"/>
      <c r="E104" s="286"/>
      <c r="F104" s="313"/>
      <c r="G104" s="313"/>
      <c r="H104" s="313"/>
      <c r="I104" s="235"/>
      <c r="J104" s="235"/>
      <c r="K104" s="235"/>
      <c r="L104" s="235"/>
      <c r="M104" s="235"/>
      <c r="N104" s="235"/>
    </row>
    <row r="105" spans="1:15" ht="25.5" x14ac:dyDescent="0.25">
      <c r="A105" s="61" t="s">
        <v>86</v>
      </c>
      <c r="B105" s="146" t="s">
        <v>470</v>
      </c>
      <c r="C105" s="146" t="s">
        <v>471</v>
      </c>
      <c r="D105" s="146" t="s">
        <v>472</v>
      </c>
      <c r="E105" s="146" t="s">
        <v>487</v>
      </c>
      <c r="F105" s="146" t="s">
        <v>474</v>
      </c>
      <c r="G105" s="146" t="s">
        <v>475</v>
      </c>
      <c r="H105" s="146" t="s">
        <v>476</v>
      </c>
      <c r="I105" s="239" t="s">
        <v>477</v>
      </c>
      <c r="J105" s="146" t="s">
        <v>13</v>
      </c>
      <c r="K105" s="146" t="s">
        <v>488</v>
      </c>
      <c r="L105" s="146" t="s">
        <v>12</v>
      </c>
      <c r="M105" s="146" t="s">
        <v>489</v>
      </c>
      <c r="N105" s="146" t="s">
        <v>515</v>
      </c>
    </row>
    <row r="106" spans="1:15" x14ac:dyDescent="0.25">
      <c r="A106" s="182" t="s">
        <v>279</v>
      </c>
      <c r="B106" s="279"/>
      <c r="C106" s="279"/>
      <c r="D106" s="279"/>
      <c r="E106" s="279"/>
      <c r="F106" s="279"/>
      <c r="G106" s="279"/>
      <c r="H106" s="279"/>
      <c r="I106" s="279"/>
      <c r="J106" s="279"/>
      <c r="K106" s="279"/>
      <c r="L106" s="279"/>
      <c r="M106" s="279"/>
      <c r="N106" s="279"/>
    </row>
    <row r="107" spans="1:15" x14ac:dyDescent="0.25">
      <c r="A107" s="288" t="s">
        <v>343</v>
      </c>
      <c r="B107" s="291">
        <v>721458</v>
      </c>
      <c r="C107" s="291">
        <v>535856</v>
      </c>
      <c r="D107" s="291">
        <v>914865</v>
      </c>
      <c r="E107" s="291">
        <v>685086</v>
      </c>
      <c r="F107" s="291">
        <v>1142356</v>
      </c>
      <c r="G107" s="291">
        <v>805221</v>
      </c>
      <c r="H107" s="291">
        <v>1086154</v>
      </c>
      <c r="I107" s="273">
        <v>599083</v>
      </c>
      <c r="J107" s="273">
        <v>925543</v>
      </c>
      <c r="K107" s="273">
        <v>572672</v>
      </c>
      <c r="L107" s="273">
        <v>858803</v>
      </c>
      <c r="M107" s="273">
        <v>-3046574</v>
      </c>
      <c r="N107" s="273">
        <v>32675</v>
      </c>
      <c r="O107" s="296"/>
    </row>
    <row r="108" spans="1:15" x14ac:dyDescent="0.25">
      <c r="A108" s="183" t="s">
        <v>435</v>
      </c>
      <c r="B108" s="291"/>
      <c r="C108" s="291"/>
      <c r="D108" s="291"/>
      <c r="E108" s="291"/>
      <c r="F108" s="291"/>
      <c r="G108" s="291"/>
      <c r="H108" s="291"/>
      <c r="I108" s="183"/>
      <c r="J108" s="273"/>
      <c r="K108" s="273"/>
      <c r="L108" s="273"/>
      <c r="M108" s="273"/>
      <c r="N108" s="273"/>
      <c r="O108" s="296"/>
    </row>
    <row r="109" spans="1:15" x14ac:dyDescent="0.25">
      <c r="A109" s="288" t="s">
        <v>436</v>
      </c>
      <c r="B109" s="291">
        <v>0</v>
      </c>
      <c r="C109" s="291">
        <v>236</v>
      </c>
      <c r="D109" s="291">
        <v>539</v>
      </c>
      <c r="E109" s="291">
        <v>507</v>
      </c>
      <c r="F109" s="291">
        <v>671</v>
      </c>
      <c r="G109" s="291">
        <v>1063</v>
      </c>
      <c r="H109" s="291">
        <v>1414</v>
      </c>
      <c r="I109" s="273">
        <v>1295</v>
      </c>
      <c r="J109" s="273">
        <v>776</v>
      </c>
      <c r="K109" s="273">
        <v>160</v>
      </c>
      <c r="L109" s="273">
        <v>-4870</v>
      </c>
      <c r="M109" s="273">
        <v>-3063</v>
      </c>
      <c r="N109" s="273">
        <v>-59861</v>
      </c>
      <c r="O109" s="296"/>
    </row>
    <row r="110" spans="1:15" x14ac:dyDescent="0.25">
      <c r="A110" s="215" t="s">
        <v>281</v>
      </c>
      <c r="B110" s="291">
        <v>688528</v>
      </c>
      <c r="C110" s="291">
        <v>670250</v>
      </c>
      <c r="D110" s="291">
        <v>697832</v>
      </c>
      <c r="E110" s="291">
        <v>713265</v>
      </c>
      <c r="F110" s="291">
        <v>827688</v>
      </c>
      <c r="G110" s="291">
        <v>858516</v>
      </c>
      <c r="H110" s="291">
        <v>863645</v>
      </c>
      <c r="I110" s="273">
        <v>863424</v>
      </c>
      <c r="J110" s="273">
        <v>912105</v>
      </c>
      <c r="K110" s="273">
        <v>884812</v>
      </c>
      <c r="L110" s="273">
        <v>870603</v>
      </c>
      <c r="M110" s="273">
        <v>962177</v>
      </c>
      <c r="N110" s="273">
        <v>821372</v>
      </c>
      <c r="O110" s="296"/>
    </row>
    <row r="111" spans="1:15" x14ac:dyDescent="0.25">
      <c r="A111" s="215" t="s">
        <v>437</v>
      </c>
      <c r="B111" s="291">
        <v>2777</v>
      </c>
      <c r="C111" s="291">
        <v>-2734</v>
      </c>
      <c r="D111" s="291">
        <v>-426</v>
      </c>
      <c r="E111" s="291">
        <v>3245</v>
      </c>
      <c r="F111" s="291">
        <v>-1119</v>
      </c>
      <c r="G111" s="291">
        <v>728</v>
      </c>
      <c r="H111" s="291">
        <v>1904</v>
      </c>
      <c r="I111" s="273">
        <v>-1057</v>
      </c>
      <c r="J111" s="273">
        <v>25</v>
      </c>
      <c r="K111" s="273">
        <v>7232</v>
      </c>
      <c r="L111" s="273">
        <v>-11427</v>
      </c>
      <c r="M111" s="273">
        <v>10712</v>
      </c>
      <c r="N111" s="273">
        <v>28369</v>
      </c>
      <c r="O111" s="296"/>
    </row>
    <row r="112" spans="1:15" x14ac:dyDescent="0.25">
      <c r="A112" s="215" t="s">
        <v>438</v>
      </c>
      <c r="B112" s="291">
        <v>56409</v>
      </c>
      <c r="C112" s="291">
        <v>75922</v>
      </c>
      <c r="D112" s="291">
        <v>25180</v>
      </c>
      <c r="E112" s="291">
        <v>33114</v>
      </c>
      <c r="F112" s="291">
        <v>107233</v>
      </c>
      <c r="G112" s="291">
        <v>118293</v>
      </c>
      <c r="H112" s="291">
        <v>104517</v>
      </c>
      <c r="I112" s="273">
        <v>115766</v>
      </c>
      <c r="J112" s="273">
        <v>137034</v>
      </c>
      <c r="K112" s="273">
        <v>149699</v>
      </c>
      <c r="L112" s="273">
        <v>137277</v>
      </c>
      <c r="M112" s="273">
        <v>136225</v>
      </c>
      <c r="N112" s="273">
        <v>126386</v>
      </c>
      <c r="O112" s="296"/>
    </row>
    <row r="113" spans="1:15" x14ac:dyDescent="0.25">
      <c r="A113" s="215" t="s">
        <v>439</v>
      </c>
      <c r="B113" s="291">
        <v>1252</v>
      </c>
      <c r="C113" s="291">
        <v>11901</v>
      </c>
      <c r="D113" s="291">
        <v>12205</v>
      </c>
      <c r="E113" s="291">
        <v>-28773</v>
      </c>
      <c r="F113" s="291">
        <v>17381</v>
      </c>
      <c r="G113" s="291">
        <v>17934</v>
      </c>
      <c r="H113" s="291">
        <v>235762</v>
      </c>
      <c r="I113" s="273">
        <v>81952</v>
      </c>
      <c r="J113" s="273">
        <v>29869</v>
      </c>
      <c r="K113" s="273">
        <v>14674</v>
      </c>
      <c r="L113" s="273">
        <v>38771</v>
      </c>
      <c r="M113" s="273">
        <v>3570051</v>
      </c>
      <c r="N113" s="273">
        <v>682346</v>
      </c>
      <c r="O113" s="296"/>
    </row>
    <row r="114" spans="1:15" x14ac:dyDescent="0.25">
      <c r="A114" s="215" t="s">
        <v>440</v>
      </c>
      <c r="B114" s="291">
        <v>-126694</v>
      </c>
      <c r="C114" s="291">
        <v>-268699</v>
      </c>
      <c r="D114" s="291">
        <v>-152979</v>
      </c>
      <c r="E114" s="291">
        <v>5034</v>
      </c>
      <c r="F114" s="291">
        <v>-68359</v>
      </c>
      <c r="G114" s="291">
        <v>-223345</v>
      </c>
      <c r="H114" s="291">
        <v>461636</v>
      </c>
      <c r="I114" s="273">
        <v>462781</v>
      </c>
      <c r="J114" s="273">
        <v>211343</v>
      </c>
      <c r="K114" s="273">
        <v>-99627</v>
      </c>
      <c r="L114" s="273">
        <v>91476</v>
      </c>
      <c r="M114" s="273">
        <v>27330</v>
      </c>
      <c r="N114" s="273">
        <v>29916</v>
      </c>
      <c r="O114" s="296"/>
    </row>
    <row r="115" spans="1:15" x14ac:dyDescent="0.25">
      <c r="A115" s="215" t="s">
        <v>441</v>
      </c>
      <c r="B115" s="291">
        <v>96263</v>
      </c>
      <c r="C115" s="291">
        <v>21109</v>
      </c>
      <c r="D115" s="291">
        <v>16750</v>
      </c>
      <c r="E115" s="291">
        <v>-201338</v>
      </c>
      <c r="F115" s="291">
        <v>40473</v>
      </c>
      <c r="G115" s="291">
        <v>-176565</v>
      </c>
      <c r="H115" s="291">
        <v>239093</v>
      </c>
      <c r="I115" s="273">
        <v>-52325</v>
      </c>
      <c r="J115" s="273">
        <v>31400</v>
      </c>
      <c r="K115" s="273">
        <v>-75268</v>
      </c>
      <c r="L115" s="273">
        <v>121565</v>
      </c>
      <c r="M115" s="273">
        <v>-31068</v>
      </c>
      <c r="N115" s="273">
        <v>27672</v>
      </c>
      <c r="O115" s="296"/>
    </row>
    <row r="116" spans="1:15" x14ac:dyDescent="0.25">
      <c r="A116" s="215" t="s">
        <v>442</v>
      </c>
      <c r="B116" s="291">
        <v>-172297</v>
      </c>
      <c r="C116" s="291">
        <v>387855</v>
      </c>
      <c r="D116" s="291">
        <v>-342376</v>
      </c>
      <c r="E116" s="291">
        <v>266156</v>
      </c>
      <c r="F116" s="291">
        <v>-366280</v>
      </c>
      <c r="G116" s="291">
        <v>436492</v>
      </c>
      <c r="H116" s="291">
        <v>-769801</v>
      </c>
      <c r="I116" s="273">
        <v>440924</v>
      </c>
      <c r="J116" s="273">
        <v>-644965</v>
      </c>
      <c r="K116" s="273">
        <v>410951</v>
      </c>
      <c r="L116" s="273">
        <v>-358148</v>
      </c>
      <c r="M116" s="273">
        <v>177512</v>
      </c>
      <c r="N116" s="273">
        <v>-310295</v>
      </c>
      <c r="O116" s="296"/>
    </row>
    <row r="117" spans="1:15" x14ac:dyDescent="0.25">
      <c r="A117" s="215" t="s">
        <v>443</v>
      </c>
      <c r="B117" s="291">
        <v>116206</v>
      </c>
      <c r="C117" s="291">
        <v>-227295</v>
      </c>
      <c r="D117" s="291">
        <v>28075</v>
      </c>
      <c r="E117" s="291">
        <v>-104679</v>
      </c>
      <c r="F117" s="291">
        <v>23923</v>
      </c>
      <c r="G117" s="291">
        <v>50989</v>
      </c>
      <c r="H117" s="291">
        <v>157149</v>
      </c>
      <c r="I117" s="273">
        <v>-690596</v>
      </c>
      <c r="J117" s="273">
        <v>474289</v>
      </c>
      <c r="K117" s="273">
        <v>-652698</v>
      </c>
      <c r="L117" s="273">
        <v>442249</v>
      </c>
      <c r="M117" s="273">
        <v>-546425</v>
      </c>
      <c r="N117" s="273">
        <v>760141</v>
      </c>
      <c r="O117" s="296"/>
    </row>
    <row r="118" spans="1:15" x14ac:dyDescent="0.25">
      <c r="A118" s="215" t="s">
        <v>490</v>
      </c>
      <c r="B118" s="291">
        <v>-3407</v>
      </c>
      <c r="C118" s="291">
        <v>-27691</v>
      </c>
      <c r="D118" s="291">
        <v>72500</v>
      </c>
      <c r="E118" s="291">
        <v>-111652</v>
      </c>
      <c r="F118" s="291">
        <v>-6238</v>
      </c>
      <c r="G118" s="291">
        <v>-59015</v>
      </c>
      <c r="H118" s="291">
        <v>91452</v>
      </c>
      <c r="I118" s="273">
        <v>-218270</v>
      </c>
      <c r="J118" s="273">
        <v>32735</v>
      </c>
      <c r="K118" s="273">
        <v>-100068</v>
      </c>
      <c r="L118" s="273">
        <v>11210</v>
      </c>
      <c r="M118" s="273">
        <v>-85172</v>
      </c>
      <c r="N118" s="273">
        <v>11428</v>
      </c>
      <c r="O118" s="296"/>
    </row>
    <row r="119" spans="1:15" x14ac:dyDescent="0.25">
      <c r="A119" s="215" t="s">
        <v>445</v>
      </c>
      <c r="B119" s="291">
        <v>-211938</v>
      </c>
      <c r="C119" s="291">
        <v>413068</v>
      </c>
      <c r="D119" s="291">
        <v>-157895</v>
      </c>
      <c r="E119" s="291">
        <v>-52140</v>
      </c>
      <c r="F119" s="291">
        <v>-188393</v>
      </c>
      <c r="G119" s="291">
        <v>448939</v>
      </c>
      <c r="H119" s="291">
        <v>-371031</v>
      </c>
      <c r="I119" s="273">
        <v>835727</v>
      </c>
      <c r="J119" s="273">
        <v>-915736</v>
      </c>
      <c r="K119" s="273">
        <v>620273</v>
      </c>
      <c r="L119" s="273">
        <v>-505248</v>
      </c>
      <c r="M119" s="273">
        <v>647091</v>
      </c>
      <c r="N119" s="273">
        <v>-512076</v>
      </c>
      <c r="O119" s="296"/>
    </row>
    <row r="120" spans="1:15" x14ac:dyDescent="0.25">
      <c r="A120" s="215" t="s">
        <v>286</v>
      </c>
      <c r="B120" s="291">
        <v>-77688</v>
      </c>
      <c r="C120" s="291">
        <v>-160712</v>
      </c>
      <c r="D120" s="291">
        <v>-51306</v>
      </c>
      <c r="E120" s="291">
        <v>-60623</v>
      </c>
      <c r="F120" s="291">
        <v>-216050</v>
      </c>
      <c r="G120" s="291">
        <v>-112795</v>
      </c>
      <c r="H120" s="291">
        <v>-260466</v>
      </c>
      <c r="I120" s="273">
        <v>-206171</v>
      </c>
      <c r="J120" s="273">
        <v>-196157</v>
      </c>
      <c r="K120" s="273">
        <v>-112236</v>
      </c>
      <c r="L120" s="273">
        <v>-71201</v>
      </c>
      <c r="M120" s="273">
        <v>-40515</v>
      </c>
      <c r="N120" s="273">
        <v>-219387</v>
      </c>
      <c r="O120" s="296"/>
    </row>
    <row r="121" spans="1:15" x14ac:dyDescent="0.25">
      <c r="A121" s="215" t="s">
        <v>134</v>
      </c>
      <c r="B121" s="291">
        <v>18</v>
      </c>
      <c r="C121" s="291">
        <v>392</v>
      </c>
      <c r="D121" s="291">
        <v>-79</v>
      </c>
      <c r="E121" s="291">
        <v>-1161</v>
      </c>
      <c r="F121" s="291">
        <v>209</v>
      </c>
      <c r="G121" s="291">
        <v>-899</v>
      </c>
      <c r="H121" s="291">
        <v>-961</v>
      </c>
      <c r="I121" s="273">
        <v>-4425</v>
      </c>
      <c r="J121" s="273">
        <v>-588</v>
      </c>
      <c r="K121" s="273">
        <v>-342</v>
      </c>
      <c r="L121" s="273">
        <v>0</v>
      </c>
      <c r="M121" s="273">
        <v>-11883</v>
      </c>
      <c r="N121" s="273">
        <v>-1515</v>
      </c>
      <c r="O121" s="296"/>
    </row>
    <row r="122" spans="1:15" x14ac:dyDescent="0.25">
      <c r="A122" s="147" t="s">
        <v>287</v>
      </c>
      <c r="B122" s="310">
        <v>1090887</v>
      </c>
      <c r="C122" s="310">
        <v>1429458</v>
      </c>
      <c r="D122" s="310">
        <v>1062885</v>
      </c>
      <c r="E122" s="310">
        <v>1146041</v>
      </c>
      <c r="F122" s="310">
        <v>1313495</v>
      </c>
      <c r="G122" s="310">
        <v>2165556</v>
      </c>
      <c r="H122" s="310">
        <v>1840467</v>
      </c>
      <c r="I122" s="310">
        <v>2228108</v>
      </c>
      <c r="J122" s="310">
        <v>997673</v>
      </c>
      <c r="K122" s="310">
        <v>1620234</v>
      </c>
      <c r="L122" s="310">
        <v>1621060</v>
      </c>
      <c r="M122" s="326">
        <v>1766398</v>
      </c>
      <c r="N122" s="326">
        <v>1417171</v>
      </c>
      <c r="O122" s="296"/>
    </row>
    <row r="123" spans="1:15" x14ac:dyDescent="0.25">
      <c r="A123" s="183" t="s">
        <v>288</v>
      </c>
      <c r="B123" s="325"/>
      <c r="C123" s="325"/>
      <c r="D123" s="291"/>
      <c r="E123" s="325"/>
      <c r="F123" s="291"/>
      <c r="G123" s="291"/>
      <c r="H123" s="291"/>
      <c r="I123" s="183"/>
      <c r="J123" s="273"/>
      <c r="K123" s="296"/>
      <c r="L123" s="296"/>
      <c r="M123" s="327">
        <v>0</v>
      </c>
      <c r="N123" s="327"/>
      <c r="O123" s="296"/>
    </row>
    <row r="124" spans="1:15" x14ac:dyDescent="0.25">
      <c r="A124" s="215" t="s">
        <v>293</v>
      </c>
      <c r="B124" s="291">
        <v>3147</v>
      </c>
      <c r="C124" s="291">
        <v>8584</v>
      </c>
      <c r="D124" s="291">
        <v>19786</v>
      </c>
      <c r="E124" s="291">
        <v>20171</v>
      </c>
      <c r="F124" s="291">
        <v>6710</v>
      </c>
      <c r="G124" s="291">
        <v>43482</v>
      </c>
      <c r="H124" s="291">
        <v>9959</v>
      </c>
      <c r="I124" s="273">
        <v>19826</v>
      </c>
      <c r="J124" s="273">
        <v>30295</v>
      </c>
      <c r="K124" s="273">
        <v>17505</v>
      </c>
      <c r="L124" s="273">
        <v>19379</v>
      </c>
      <c r="M124" s="281">
        <v>17175</v>
      </c>
      <c r="N124" s="281">
        <v>15403</v>
      </c>
      <c r="O124" s="296"/>
    </row>
    <row r="125" spans="1:15" x14ac:dyDescent="0.25">
      <c r="A125" s="215" t="s">
        <v>289</v>
      </c>
      <c r="B125" s="291">
        <v>-690511</v>
      </c>
      <c r="C125" s="291">
        <v>-827577</v>
      </c>
      <c r="D125" s="291">
        <v>-932831</v>
      </c>
      <c r="E125" s="291">
        <v>-1369439</v>
      </c>
      <c r="F125" s="291">
        <v>-1613621</v>
      </c>
      <c r="G125" s="291">
        <v>-1688850</v>
      </c>
      <c r="H125" s="291">
        <v>-1846214</v>
      </c>
      <c r="I125" s="273">
        <v>-2087459</v>
      </c>
      <c r="J125" s="273">
        <v>-1742014</v>
      </c>
      <c r="K125" s="273">
        <v>-1722564</v>
      </c>
      <c r="L125" s="273">
        <v>-1850110</v>
      </c>
      <c r="M125" s="281">
        <v>-2123400</v>
      </c>
      <c r="N125" s="281">
        <v>-1769630</v>
      </c>
      <c r="O125" s="296"/>
    </row>
    <row r="126" spans="1:15" x14ac:dyDescent="0.25">
      <c r="A126" s="215" t="s">
        <v>446</v>
      </c>
      <c r="B126" s="291">
        <v>0</v>
      </c>
      <c r="C126" s="291">
        <v>0</v>
      </c>
      <c r="D126" s="291">
        <v>0</v>
      </c>
      <c r="E126" s="291">
        <v>1493</v>
      </c>
      <c r="F126" s="291">
        <v>102506</v>
      </c>
      <c r="G126" s="291">
        <v>0</v>
      </c>
      <c r="H126" s="291">
        <v>0</v>
      </c>
      <c r="I126" s="273">
        <v>0</v>
      </c>
      <c r="J126" s="273">
        <v>0</v>
      </c>
      <c r="K126" s="273">
        <v>0</v>
      </c>
      <c r="L126" s="273">
        <v>21732</v>
      </c>
      <c r="M126" s="281">
        <v>0</v>
      </c>
      <c r="N126" s="281">
        <v>0</v>
      </c>
      <c r="O126" s="296"/>
    </row>
    <row r="127" spans="1:15" x14ac:dyDescent="0.25">
      <c r="A127" s="215" t="s">
        <v>447</v>
      </c>
      <c r="B127" s="291">
        <v>7820</v>
      </c>
      <c r="C127" s="291">
        <v>48369</v>
      </c>
      <c r="D127" s="291">
        <v>25065</v>
      </c>
      <c r="E127" s="291">
        <v>87746</v>
      </c>
      <c r="F127" s="291">
        <v>7260</v>
      </c>
      <c r="G127" s="291">
        <v>14751</v>
      </c>
      <c r="H127" s="291">
        <v>760</v>
      </c>
      <c r="I127" s="273">
        <v>3477</v>
      </c>
      <c r="J127" s="273">
        <v>1272</v>
      </c>
      <c r="K127" s="273">
        <v>36992</v>
      </c>
      <c r="L127" s="273">
        <f>23649-21732</f>
        <v>1917</v>
      </c>
      <c r="M127" s="281">
        <v>1160</v>
      </c>
      <c r="N127" s="281">
        <v>11117</v>
      </c>
      <c r="O127" s="296"/>
    </row>
    <row r="128" spans="1:15" x14ac:dyDescent="0.25">
      <c r="A128" s="215" t="s">
        <v>448</v>
      </c>
      <c r="B128" s="291">
        <v>0</v>
      </c>
      <c r="C128" s="291">
        <v>0</v>
      </c>
      <c r="D128" s="291">
        <v>0</v>
      </c>
      <c r="E128" s="291">
        <v>0</v>
      </c>
      <c r="F128" s="291">
        <v>0</v>
      </c>
      <c r="G128" s="291">
        <v>0</v>
      </c>
      <c r="H128" s="291">
        <v>0</v>
      </c>
      <c r="I128" s="273">
        <v>-232500</v>
      </c>
      <c r="J128" s="273">
        <v>0</v>
      </c>
      <c r="K128" s="273">
        <v>0</v>
      </c>
      <c r="L128" s="273">
        <v>0</v>
      </c>
      <c r="M128" s="281">
        <v>0</v>
      </c>
      <c r="N128" s="281">
        <v>0</v>
      </c>
      <c r="O128" s="296"/>
    </row>
    <row r="129" spans="1:15" x14ac:dyDescent="0.25">
      <c r="A129" s="215" t="s">
        <v>449</v>
      </c>
      <c r="B129" s="291">
        <v>-50156</v>
      </c>
      <c r="C129" s="291">
        <v>-19414</v>
      </c>
      <c r="D129" s="291">
        <f>-14634</f>
        <v>-14634</v>
      </c>
      <c r="E129" s="291">
        <v>-133355</v>
      </c>
      <c r="F129" s="291">
        <v>-8396</v>
      </c>
      <c r="G129" s="291">
        <v>-2067</v>
      </c>
      <c r="H129" s="291">
        <v>-4246</v>
      </c>
      <c r="I129" s="273">
        <v>-674</v>
      </c>
      <c r="J129" s="273">
        <v>-4400</v>
      </c>
      <c r="K129" s="273">
        <v>-2284</v>
      </c>
      <c r="L129" s="273">
        <v>-21734</v>
      </c>
      <c r="M129" s="281">
        <v>-7333</v>
      </c>
      <c r="N129" s="281">
        <v>-29534</v>
      </c>
      <c r="O129" s="296"/>
    </row>
    <row r="130" spans="1:15" x14ac:dyDescent="0.25">
      <c r="A130" s="215" t="s">
        <v>491</v>
      </c>
      <c r="B130" s="291">
        <v>0</v>
      </c>
      <c r="C130" s="291">
        <v>-1000</v>
      </c>
      <c r="D130" s="291">
        <v>-13000</v>
      </c>
      <c r="E130" s="291">
        <v>-10000</v>
      </c>
      <c r="F130" s="291">
        <v>0</v>
      </c>
      <c r="G130" s="291">
        <v>-32576</v>
      </c>
      <c r="H130" s="291">
        <v>0</v>
      </c>
      <c r="I130" s="273">
        <v>0</v>
      </c>
      <c r="J130" s="273">
        <v>0</v>
      </c>
      <c r="K130" s="273">
        <v>0</v>
      </c>
      <c r="L130" s="273">
        <v>0</v>
      </c>
      <c r="M130" s="281">
        <v>0</v>
      </c>
      <c r="N130" s="281">
        <v>0</v>
      </c>
      <c r="O130" s="296"/>
    </row>
    <row r="131" spans="1:15" x14ac:dyDescent="0.25">
      <c r="A131" s="215" t="s">
        <v>451</v>
      </c>
      <c r="B131" s="291">
        <v>0</v>
      </c>
      <c r="C131" s="291">
        <v>23</v>
      </c>
      <c r="D131" s="291">
        <v>0</v>
      </c>
      <c r="E131" s="291">
        <v>-3379615</v>
      </c>
      <c r="F131" s="291">
        <v>-5613</v>
      </c>
      <c r="G131" s="291">
        <v>0</v>
      </c>
      <c r="H131" s="291">
        <v>0</v>
      </c>
      <c r="I131" s="273">
        <v>0</v>
      </c>
      <c r="J131" s="273">
        <v>0</v>
      </c>
      <c r="K131" s="273">
        <v>0</v>
      </c>
      <c r="L131" s="273">
        <v>0</v>
      </c>
      <c r="M131" s="281">
        <v>0</v>
      </c>
      <c r="N131" s="281">
        <v>0</v>
      </c>
      <c r="O131" s="296"/>
    </row>
    <row r="132" spans="1:15" x14ac:dyDescent="0.25">
      <c r="A132" s="215" t="s">
        <v>452</v>
      </c>
      <c r="B132" s="291">
        <v>2198</v>
      </c>
      <c r="C132" s="291">
        <v>2151</v>
      </c>
      <c r="D132" s="291">
        <v>6358</v>
      </c>
      <c r="E132" s="291">
        <v>1815</v>
      </c>
      <c r="F132" s="291">
        <v>1485</v>
      </c>
      <c r="G132" s="291">
        <v>6864</v>
      </c>
      <c r="H132" s="291">
        <v>7396</v>
      </c>
      <c r="I132" s="273">
        <v>10927</v>
      </c>
      <c r="J132" s="273">
        <v>2096</v>
      </c>
      <c r="K132" s="273">
        <v>1835</v>
      </c>
      <c r="L132" s="273">
        <v>3585</v>
      </c>
      <c r="M132" s="281">
        <v>1099</v>
      </c>
      <c r="N132" s="281">
        <v>6592</v>
      </c>
      <c r="O132" s="296"/>
    </row>
    <row r="133" spans="1:15" x14ac:dyDescent="0.25">
      <c r="A133" s="215" t="s">
        <v>453</v>
      </c>
      <c r="B133" s="291">
        <v>162</v>
      </c>
      <c r="C133" s="291">
        <v>1215</v>
      </c>
      <c r="D133" s="291">
        <v>27</v>
      </c>
      <c r="E133" s="291">
        <v>639</v>
      </c>
      <c r="F133" s="291">
        <v>1</v>
      </c>
      <c r="G133" s="291">
        <v>135</v>
      </c>
      <c r="H133" s="291">
        <v>56</v>
      </c>
      <c r="I133" s="273">
        <v>-16</v>
      </c>
      <c r="J133" s="273">
        <v>469</v>
      </c>
      <c r="K133" s="273">
        <v>599</v>
      </c>
      <c r="L133" s="273">
        <v>5620</v>
      </c>
      <c r="M133" s="281">
        <v>388</v>
      </c>
      <c r="N133" s="281">
        <v>357</v>
      </c>
      <c r="O133" s="296"/>
    </row>
    <row r="134" spans="1:15" x14ac:dyDescent="0.25">
      <c r="A134" s="215" t="s">
        <v>294</v>
      </c>
      <c r="B134" s="291">
        <v>30</v>
      </c>
      <c r="C134" s="291">
        <v>1445</v>
      </c>
      <c r="D134" s="291">
        <v>25</v>
      </c>
      <c r="E134" s="291">
        <v>215</v>
      </c>
      <c r="F134" s="291">
        <v>0</v>
      </c>
      <c r="G134" s="291">
        <v>24500</v>
      </c>
      <c r="H134" s="291">
        <v>17550</v>
      </c>
      <c r="I134" s="273">
        <v>29250</v>
      </c>
      <c r="J134" s="273">
        <v>5850</v>
      </c>
      <c r="K134" s="273">
        <v>5850</v>
      </c>
      <c r="L134" s="273">
        <v>14500</v>
      </c>
      <c r="M134" s="281">
        <v>0</v>
      </c>
      <c r="N134" s="281">
        <v>0</v>
      </c>
      <c r="O134" s="296"/>
    </row>
    <row r="135" spans="1:15" x14ac:dyDescent="0.25">
      <c r="A135" s="215" t="s">
        <v>291</v>
      </c>
      <c r="B135" s="291">
        <v>-9000</v>
      </c>
      <c r="C135" s="291">
        <v>7600</v>
      </c>
      <c r="D135" s="291">
        <v>0</v>
      </c>
      <c r="E135" s="291">
        <v>0</v>
      </c>
      <c r="F135" s="291">
        <v>-75000</v>
      </c>
      <c r="G135" s="291">
        <v>-64500</v>
      </c>
      <c r="H135" s="291">
        <v>-79550</v>
      </c>
      <c r="I135" s="273">
        <v>-29250</v>
      </c>
      <c r="J135" s="273">
        <v>-5850</v>
      </c>
      <c r="K135" s="273">
        <v>-12200</v>
      </c>
      <c r="L135" s="273">
        <v>-8150</v>
      </c>
      <c r="M135" s="281">
        <v>-17950</v>
      </c>
      <c r="N135" s="281">
        <v>-7600</v>
      </c>
      <c r="O135" s="296"/>
    </row>
    <row r="136" spans="1:15" x14ac:dyDescent="0.25">
      <c r="A136" s="215" t="s">
        <v>134</v>
      </c>
      <c r="B136" s="291">
        <v>2972</v>
      </c>
      <c r="C136" s="291">
        <v>3466</v>
      </c>
      <c r="D136" s="291">
        <v>0</v>
      </c>
      <c r="E136" s="291">
        <v>0</v>
      </c>
      <c r="F136" s="291">
        <v>0</v>
      </c>
      <c r="G136" s="291">
        <v>0</v>
      </c>
      <c r="H136" s="291">
        <v>4</v>
      </c>
      <c r="I136" s="273">
        <v>216</v>
      </c>
      <c r="J136" s="273">
        <v>0</v>
      </c>
      <c r="K136" s="273">
        <v>-184</v>
      </c>
      <c r="L136" s="273">
        <v>0</v>
      </c>
      <c r="M136" s="281">
        <v>0</v>
      </c>
      <c r="N136" s="281">
        <v>-131077</v>
      </c>
      <c r="O136" s="296"/>
    </row>
    <row r="137" spans="1:15" x14ac:dyDescent="0.25">
      <c r="A137" s="147" t="s">
        <v>297</v>
      </c>
      <c r="B137" s="310">
        <v>-733338</v>
      </c>
      <c r="C137" s="310">
        <v>-775138</v>
      </c>
      <c r="D137" s="310">
        <v>-909204</v>
      </c>
      <c r="E137" s="310">
        <v>-4780330</v>
      </c>
      <c r="F137" s="310">
        <v>-1584668</v>
      </c>
      <c r="G137" s="310">
        <v>-1698261</v>
      </c>
      <c r="H137" s="310">
        <v>-1894285</v>
      </c>
      <c r="I137" s="310">
        <v>-2286203</v>
      </c>
      <c r="J137" s="310">
        <v>-1712282</v>
      </c>
      <c r="K137" s="310">
        <v>-1674451</v>
      </c>
      <c r="L137" s="310">
        <v>-1813261</v>
      </c>
      <c r="M137" s="310">
        <v>-2128861</v>
      </c>
      <c r="N137" s="310">
        <v>-1904372</v>
      </c>
      <c r="O137" s="296"/>
    </row>
    <row r="138" spans="1:15" x14ac:dyDescent="0.25">
      <c r="A138" s="183" t="s">
        <v>298</v>
      </c>
      <c r="B138" s="325"/>
      <c r="C138" s="325"/>
      <c r="D138" s="325"/>
      <c r="E138" s="325"/>
      <c r="F138" s="291"/>
      <c r="G138" s="325"/>
      <c r="H138" s="291"/>
      <c r="I138" s="291"/>
      <c r="J138" s="291"/>
      <c r="M138" s="328">
        <v>0</v>
      </c>
      <c r="N138" s="328"/>
      <c r="O138" s="296"/>
    </row>
    <row r="139" spans="1:15" x14ac:dyDescent="0.25">
      <c r="A139" s="215" t="s">
        <v>454</v>
      </c>
      <c r="B139" s="329">
        <v>-18568</v>
      </c>
      <c r="C139" s="329">
        <v>-17274</v>
      </c>
      <c r="D139" s="291">
        <v>-14920</v>
      </c>
      <c r="E139" s="291">
        <v>-10683</v>
      </c>
      <c r="F139" s="291">
        <v>-7853</v>
      </c>
      <c r="G139" s="291">
        <v>-6981</v>
      </c>
      <c r="H139" s="291">
        <v>-7495</v>
      </c>
      <c r="I139" s="291">
        <v>-7416</v>
      </c>
      <c r="J139" s="291">
        <v>-9899</v>
      </c>
      <c r="K139" s="291">
        <v>-10723</v>
      </c>
      <c r="L139" s="291">
        <v>-7716</v>
      </c>
      <c r="M139" s="304">
        <v>-6710</v>
      </c>
      <c r="N139" s="304">
        <v>-8008</v>
      </c>
      <c r="O139" s="296"/>
    </row>
    <row r="140" spans="1:15" x14ac:dyDescent="0.25">
      <c r="A140" s="215" t="s">
        <v>455</v>
      </c>
      <c r="B140" s="329">
        <v>59531</v>
      </c>
      <c r="C140" s="329">
        <v>107584</v>
      </c>
      <c r="D140" s="291">
        <v>75594</v>
      </c>
      <c r="E140" s="291">
        <v>11660</v>
      </c>
      <c r="F140" s="291">
        <v>549000</v>
      </c>
      <c r="G140" s="291">
        <v>456000</v>
      </c>
      <c r="H140" s="291">
        <v>451180</v>
      </c>
      <c r="I140" s="291">
        <v>1145</v>
      </c>
      <c r="J140" s="291">
        <v>0</v>
      </c>
      <c r="K140" s="291">
        <v>0</v>
      </c>
      <c r="L140" s="291">
        <v>0</v>
      </c>
      <c r="M140" s="304">
        <v>295000</v>
      </c>
      <c r="N140" s="304">
        <v>916</v>
      </c>
      <c r="O140" s="296"/>
    </row>
    <row r="141" spans="1:15" x14ac:dyDescent="0.25">
      <c r="A141" s="215" t="s">
        <v>300</v>
      </c>
      <c r="B141" s="329">
        <v>-233080</v>
      </c>
      <c r="C141" s="329">
        <v>-510940</v>
      </c>
      <c r="D141" s="291">
        <v>-235984</v>
      </c>
      <c r="E141" s="291">
        <v>-231199</v>
      </c>
      <c r="F141" s="291">
        <v>-96515</v>
      </c>
      <c r="G141" s="291">
        <v>-160695</v>
      </c>
      <c r="H141" s="291">
        <v>-19648</v>
      </c>
      <c r="I141" s="291">
        <v>-121578</v>
      </c>
      <c r="J141" s="291">
        <v>-60708</v>
      </c>
      <c r="K141" s="291">
        <v>-109263</v>
      </c>
      <c r="L141" s="291">
        <v>-44739</v>
      </c>
      <c r="M141" s="304">
        <v>-95846</v>
      </c>
      <c r="N141" s="304">
        <v>-44724</v>
      </c>
      <c r="O141" s="296"/>
    </row>
    <row r="142" spans="1:15" x14ac:dyDescent="0.25">
      <c r="A142" s="215" t="s">
        <v>304</v>
      </c>
      <c r="B142" s="329">
        <v>0</v>
      </c>
      <c r="C142" s="329">
        <v>848200</v>
      </c>
      <c r="D142" s="291">
        <v>0</v>
      </c>
      <c r="E142" s="291">
        <v>3300000</v>
      </c>
      <c r="F142" s="291">
        <v>150000</v>
      </c>
      <c r="G142" s="291">
        <v>0</v>
      </c>
      <c r="H142" s="291">
        <v>0</v>
      </c>
      <c r="I142" s="291">
        <v>0</v>
      </c>
      <c r="J142" s="291">
        <v>1000000</v>
      </c>
      <c r="K142" s="291">
        <v>2653234</v>
      </c>
      <c r="L142" s="291">
        <v>0</v>
      </c>
      <c r="M142" s="304">
        <v>310000</v>
      </c>
      <c r="N142" s="304">
        <v>2860000</v>
      </c>
      <c r="O142" s="296"/>
    </row>
    <row r="143" spans="1:15" x14ac:dyDescent="0.25">
      <c r="A143" s="215" t="s">
        <v>299</v>
      </c>
      <c r="B143" s="329">
        <v>-41308</v>
      </c>
      <c r="C143" s="329">
        <v>-567384</v>
      </c>
      <c r="D143" s="291">
        <v>0</v>
      </c>
      <c r="E143" s="291">
        <v>0</v>
      </c>
      <c r="F143" s="291">
        <v>0</v>
      </c>
      <c r="G143" s="291">
        <v>0</v>
      </c>
      <c r="H143" s="291">
        <v>0</v>
      </c>
      <c r="I143" s="291">
        <v>0</v>
      </c>
      <c r="J143" s="291">
        <v>-300000</v>
      </c>
      <c r="K143" s="291">
        <v>-848200</v>
      </c>
      <c r="L143" s="291">
        <v>-150000</v>
      </c>
      <c r="M143" s="304">
        <v>-300000</v>
      </c>
      <c r="N143" s="304">
        <v>-2250000</v>
      </c>
      <c r="O143" s="296"/>
    </row>
    <row r="144" spans="1:15" x14ac:dyDescent="0.25">
      <c r="A144" s="215" t="s">
        <v>456</v>
      </c>
      <c r="B144" s="329">
        <v>0</v>
      </c>
      <c r="C144" s="329">
        <v>0</v>
      </c>
      <c r="D144" s="291">
        <v>0</v>
      </c>
      <c r="E144" s="291">
        <v>-262882</v>
      </c>
      <c r="F144" s="291">
        <v>0</v>
      </c>
      <c r="G144" s="291">
        <v>-543290</v>
      </c>
      <c r="H144" s="291">
        <v>-340680</v>
      </c>
      <c r="I144" s="291">
        <v>-9830</v>
      </c>
      <c r="J144" s="291">
        <v>0</v>
      </c>
      <c r="K144" s="291">
        <v>-332984</v>
      </c>
      <c r="L144" s="291">
        <v>0</v>
      </c>
      <c r="M144" s="304">
        <v>-262882</v>
      </c>
      <c r="N144" s="304">
        <v>-1</v>
      </c>
      <c r="O144" s="296"/>
    </row>
    <row r="145" spans="1:15" x14ac:dyDescent="0.25">
      <c r="A145" s="215" t="s">
        <v>457</v>
      </c>
      <c r="B145" s="329">
        <v>-2287</v>
      </c>
      <c r="C145" s="329">
        <v>-3286</v>
      </c>
      <c r="D145" s="291">
        <v>-10885</v>
      </c>
      <c r="E145" s="291">
        <v>-2791</v>
      </c>
      <c r="F145" s="291">
        <v>-16019</v>
      </c>
      <c r="G145" s="291">
        <v>-415</v>
      </c>
      <c r="H145" s="291">
        <v>-7236</v>
      </c>
      <c r="I145" s="291">
        <v>-811</v>
      </c>
      <c r="J145" s="291">
        <v>-990</v>
      </c>
      <c r="K145" s="291">
        <v>-243</v>
      </c>
      <c r="L145" s="291">
        <v>-1821</v>
      </c>
      <c r="M145" s="304">
        <v>-809</v>
      </c>
      <c r="N145" s="304">
        <v>-2477</v>
      </c>
      <c r="O145" s="296"/>
    </row>
    <row r="146" spans="1:15" x14ac:dyDescent="0.25">
      <c r="A146" s="215" t="s">
        <v>301</v>
      </c>
      <c r="B146" s="329">
        <v>-55110</v>
      </c>
      <c r="C146" s="329">
        <v>-60710</v>
      </c>
      <c r="D146" s="291">
        <v>-28199</v>
      </c>
      <c r="E146" s="291">
        <v>-24093</v>
      </c>
      <c r="F146" s="291">
        <v>-107048</v>
      </c>
      <c r="G146" s="291">
        <v>-115041</v>
      </c>
      <c r="H146" s="291">
        <v>-85762</v>
      </c>
      <c r="I146" s="291">
        <v>-143669</v>
      </c>
      <c r="J146" s="291">
        <v>-136960</v>
      </c>
      <c r="K146" s="291">
        <v>136960</v>
      </c>
      <c r="L146" s="291">
        <v>-135386</v>
      </c>
      <c r="M146" s="304">
        <v>-140919</v>
      </c>
      <c r="N146" s="304">
        <v>-117339</v>
      </c>
      <c r="O146" s="296"/>
    </row>
    <row r="147" spans="1:15" x14ac:dyDescent="0.25">
      <c r="A147" s="215" t="s">
        <v>458</v>
      </c>
      <c r="B147" s="329">
        <v>0</v>
      </c>
      <c r="C147" s="329">
        <v>-9863</v>
      </c>
      <c r="D147" s="291">
        <v>-27192</v>
      </c>
      <c r="E147" s="291">
        <v>-10608</v>
      </c>
      <c r="F147" s="291">
        <v>-4184</v>
      </c>
      <c r="G147" s="291">
        <v>-2351</v>
      </c>
      <c r="H147" s="291">
        <v>-1352</v>
      </c>
      <c r="I147" s="291">
        <v>-35669</v>
      </c>
      <c r="J147" s="291">
        <v>-125227</v>
      </c>
      <c r="K147" s="291">
        <v>-148165</v>
      </c>
      <c r="L147" s="291">
        <v>-140</v>
      </c>
      <c r="M147" s="304">
        <v>-448</v>
      </c>
      <c r="N147" s="304">
        <v>-46</v>
      </c>
      <c r="O147" s="296"/>
    </row>
    <row r="148" spans="1:15" x14ac:dyDescent="0.25">
      <c r="A148" s="215" t="s">
        <v>134</v>
      </c>
      <c r="B148" s="329">
        <v>-3429</v>
      </c>
      <c r="C148" s="329">
        <v>-4940</v>
      </c>
      <c r="D148" s="291">
        <v>-7655</v>
      </c>
      <c r="E148" s="291">
        <v>-5399</v>
      </c>
      <c r="F148" s="291">
        <v>-1734</v>
      </c>
      <c r="G148" s="291">
        <f>-9241+106083</f>
        <v>96842</v>
      </c>
      <c r="H148" s="291">
        <v>20965</v>
      </c>
      <c r="I148" s="291">
        <f>-19761+89024</f>
        <v>69263</v>
      </c>
      <c r="J148" s="291">
        <v>38655</v>
      </c>
      <c r="K148" s="291">
        <v>15664</v>
      </c>
      <c r="L148" s="291">
        <v>2232</v>
      </c>
      <c r="M148" s="304">
        <v>14492</v>
      </c>
      <c r="N148" s="304">
        <f>-115939+131077</f>
        <v>15138</v>
      </c>
      <c r="O148" s="296"/>
    </row>
    <row r="149" spans="1:15" x14ac:dyDescent="0.25">
      <c r="A149" s="147" t="s">
        <v>306</v>
      </c>
      <c r="B149" s="330">
        <v>-294251</v>
      </c>
      <c r="C149" s="330">
        <v>-218613</v>
      </c>
      <c r="D149" s="310">
        <v>-249241</v>
      </c>
      <c r="E149" s="310">
        <v>2764005</v>
      </c>
      <c r="F149" s="310">
        <v>465647</v>
      </c>
      <c r="G149" s="310">
        <v>-275931</v>
      </c>
      <c r="H149" s="310">
        <v>9972</v>
      </c>
      <c r="I149" s="310">
        <v>-248565</v>
      </c>
      <c r="J149" s="310">
        <v>404871</v>
      </c>
      <c r="K149" s="310">
        <v>1230878</v>
      </c>
      <c r="L149" s="310">
        <v>-337570</v>
      </c>
      <c r="M149" s="310">
        <v>-188122</v>
      </c>
      <c r="N149" s="310">
        <v>453459</v>
      </c>
      <c r="O149" s="296"/>
    </row>
    <row r="150" spans="1:15" x14ac:dyDescent="0.25">
      <c r="A150" s="183" t="s">
        <v>307</v>
      </c>
      <c r="B150" s="291">
        <v>63298</v>
      </c>
      <c r="C150" s="304">
        <v>435707</v>
      </c>
      <c r="D150" s="291">
        <v>-95560</v>
      </c>
      <c r="E150" s="291">
        <v>-870284</v>
      </c>
      <c r="F150" s="291">
        <v>194474</v>
      </c>
      <c r="G150" s="291">
        <v>191364</v>
      </c>
      <c r="H150" s="291">
        <v>-43846</v>
      </c>
      <c r="I150" s="291">
        <v>-306660</v>
      </c>
      <c r="J150" s="291">
        <v>-309738</v>
      </c>
      <c r="K150" s="291">
        <v>1176661</v>
      </c>
      <c r="L150" s="291">
        <v>-529771</v>
      </c>
      <c r="M150" s="291">
        <v>-550585</v>
      </c>
      <c r="N150" s="291">
        <v>-33742</v>
      </c>
      <c r="O150" s="296"/>
    </row>
    <row r="151" spans="1:15" x14ac:dyDescent="0.25">
      <c r="A151" s="215" t="s">
        <v>308</v>
      </c>
      <c r="B151" s="291">
        <v>57</v>
      </c>
      <c r="C151" s="304">
        <v>-191</v>
      </c>
      <c r="D151" s="291">
        <v>146</v>
      </c>
      <c r="E151" s="291">
        <v>-149</v>
      </c>
      <c r="F151" s="291">
        <v>122</v>
      </c>
      <c r="G151" s="291">
        <v>-1497</v>
      </c>
      <c r="H151" s="291">
        <v>-845</v>
      </c>
      <c r="I151" s="291">
        <v>-1013</v>
      </c>
      <c r="J151" s="291">
        <v>60</v>
      </c>
      <c r="K151" s="291">
        <v>-237</v>
      </c>
      <c r="L151" s="291">
        <v>314</v>
      </c>
      <c r="M151" s="291">
        <v>855</v>
      </c>
      <c r="N151" s="291">
        <v>879</v>
      </c>
      <c r="O151" s="296"/>
    </row>
    <row r="152" spans="1:15" x14ac:dyDescent="0.25">
      <c r="A152" s="149" t="s">
        <v>309</v>
      </c>
      <c r="B152" s="291">
        <v>972655</v>
      </c>
      <c r="C152" s="291">
        <v>1035953</v>
      </c>
      <c r="D152" s="291">
        <v>1471660</v>
      </c>
      <c r="E152" s="291">
        <v>1376100</v>
      </c>
      <c r="F152" s="291">
        <v>505816</v>
      </c>
      <c r="G152" s="291">
        <v>700290</v>
      </c>
      <c r="H152" s="291">
        <v>891654</v>
      </c>
      <c r="I152" s="291">
        <v>847808</v>
      </c>
      <c r="J152" s="291">
        <v>541148</v>
      </c>
      <c r="K152" s="291">
        <v>231410</v>
      </c>
      <c r="L152" s="291">
        <v>1408071</v>
      </c>
      <c r="M152" s="291">
        <v>878300</v>
      </c>
      <c r="N152" s="291">
        <v>327715</v>
      </c>
      <c r="O152" s="296"/>
    </row>
    <row r="153" spans="1:15" x14ac:dyDescent="0.25">
      <c r="A153" s="149" t="s">
        <v>459</v>
      </c>
      <c r="B153" s="291">
        <v>1035953</v>
      </c>
      <c r="C153" s="291">
        <v>1471660</v>
      </c>
      <c r="D153" s="291">
        <v>1376100</v>
      </c>
      <c r="E153" s="291">
        <v>505816</v>
      </c>
      <c r="F153" s="291">
        <v>700290</v>
      </c>
      <c r="G153" s="291">
        <v>891654</v>
      </c>
      <c r="H153" s="291">
        <v>847808</v>
      </c>
      <c r="I153" s="291">
        <v>541148</v>
      </c>
      <c r="J153" s="291">
        <v>231410</v>
      </c>
      <c r="K153" s="291">
        <v>1408071</v>
      </c>
      <c r="L153" s="291">
        <v>878300</v>
      </c>
      <c r="M153" s="291">
        <v>327715</v>
      </c>
      <c r="N153" s="291">
        <v>293973</v>
      </c>
      <c r="O153" s="296"/>
    </row>
    <row r="154" spans="1:15" x14ac:dyDescent="0.25">
      <c r="A154" s="263" t="s">
        <v>310</v>
      </c>
      <c r="B154" s="316">
        <v>27374</v>
      </c>
      <c r="C154" s="316">
        <v>165862</v>
      </c>
      <c r="D154" s="316">
        <v>69123</v>
      </c>
      <c r="E154" s="316">
        <v>176241</v>
      </c>
      <c r="F154" s="316">
        <v>215496</v>
      </c>
      <c r="G154" s="316">
        <v>290063</v>
      </c>
      <c r="H154" s="316">
        <v>273729</v>
      </c>
      <c r="I154" s="316">
        <v>121129</v>
      </c>
      <c r="J154" s="316">
        <v>154406</v>
      </c>
      <c r="K154" s="316">
        <v>116568</v>
      </c>
      <c r="L154" s="316">
        <v>164421</v>
      </c>
      <c r="M154" s="316">
        <v>206254</v>
      </c>
      <c r="N154" s="316">
        <v>179404</v>
      </c>
      <c r="O154" s="296"/>
    </row>
    <row r="156" spans="1:15" x14ac:dyDescent="0.25">
      <c r="A156" s="291" t="s">
        <v>349</v>
      </c>
      <c r="B156" s="144" t="s">
        <v>461</v>
      </c>
    </row>
    <row r="157" spans="1:15" x14ac:dyDescent="0.25">
      <c r="A157" s="291" t="s">
        <v>408</v>
      </c>
      <c r="B157" s="144" t="s">
        <v>463</v>
      </c>
      <c r="K157" s="296"/>
    </row>
    <row r="158" spans="1:15" x14ac:dyDescent="0.25">
      <c r="A158" s="291" t="s">
        <v>464</v>
      </c>
      <c r="B158" s="144" t="s">
        <v>466</v>
      </c>
    </row>
    <row r="159" spans="1:15" x14ac:dyDescent="0.25">
      <c r="A159" s="291" t="s">
        <v>467</v>
      </c>
      <c r="B159" s="144" t="s">
        <v>468</v>
      </c>
    </row>
  </sheetData>
  <customSheetViews>
    <customSheetView guid="{77EFF5B1-32BE-4080-9902-B97F43099026}" scale="90">
      <pane xSplit="1" ySplit="4" topLeftCell="F71" activePane="bottomRight" state="frozen"/>
      <selection pane="bottomRight" activeCell="P152" sqref="P152"/>
      <pageMargins left="0.7" right="0.7" top="0.75" bottom="0.75" header="0.3" footer="0.3"/>
    </customSheetView>
    <customSheetView guid="{AAA495E0-27FD-4941-85B8-9038B6AD4FA3}" scale="90">
      <pane xSplit="1" ySplit="4" topLeftCell="F122" activePane="bottomRight" state="frozen"/>
      <selection pane="bottomRight" activeCell="N113" sqref="N113"/>
      <pageMargins left="0.7" right="0.7" top="0.75" bottom="0.75" header="0.3" footer="0.3"/>
    </customSheetView>
    <customSheetView guid="{874BA5F8-BD95-4DDF-8F31-98DB154CA965}" scale="90">
      <pane xSplit="1" ySplit="4" topLeftCell="F122" activePane="bottomRight" state="frozen"/>
      <selection pane="bottomRight" activeCell="N113" sqref="N113"/>
      <pageMargins left="0.7" right="0.7" top="0.75" bottom="0.75" header="0.3" footer="0.3"/>
    </customSheetView>
    <customSheetView guid="{627AEB6E-B9F1-415E-9A60-881757A50C67}" scale="90">
      <pane xSplit="1" ySplit="4" topLeftCell="F71" activePane="bottomRight" state="frozen"/>
      <selection pane="bottomRight" activeCell="P152" sqref="P152"/>
      <pageMargins left="0.7" right="0.7" top="0.75" bottom="0.75" header="0.3" footer="0.3"/>
    </customSheetView>
  </customSheetViews>
  <mergeCells count="11">
    <mergeCell ref="H43:H44"/>
    <mergeCell ref="B82:B83"/>
    <mergeCell ref="D82:D83"/>
    <mergeCell ref="F82:F83"/>
    <mergeCell ref="B92:B93"/>
    <mergeCell ref="D92:D93"/>
    <mergeCell ref="F92:F93"/>
    <mergeCell ref="B43:B44"/>
    <mergeCell ref="C43:C44"/>
    <mergeCell ref="D43:D44"/>
    <mergeCell ref="F43:F4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8602ADDBC435A498719F4E16DE65470" ma:contentTypeVersion="1" ma:contentTypeDescription="Utwórz nowy dokument." ma:contentTypeScope="" ma:versionID="b52d4e64fc82c101e56d96bd884aa61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17573e9cebe49395029ccb7cb73925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Planowana data rozpoczęcia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Planowana data zakończenia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5FD370-748C-417B-BC24-F3FCEDDD32A6}"/>
</file>

<file path=customXml/itemProps2.xml><?xml version="1.0" encoding="utf-8"?>
<ds:datastoreItem xmlns:ds="http://schemas.openxmlformats.org/officeDocument/2006/customXml" ds:itemID="{2353085D-E0AB-45B7-B726-491EFE722D8B}"/>
</file>

<file path=customXml/itemProps3.xml><?xml version="1.0" encoding="utf-8"?>
<ds:datastoreItem xmlns:ds="http://schemas.openxmlformats.org/officeDocument/2006/customXml" ds:itemID="{C7A3634C-8EEC-47A4-97DE-6F0DB1254B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Podstawowe Parametry</vt:lpstr>
      <vt:lpstr>Zainstalowana moc</vt:lpstr>
      <vt:lpstr>Wyniki segmentów</vt:lpstr>
      <vt:lpstr>Inwestycje</vt:lpstr>
      <vt:lpstr>Rach. zysków i strat</vt:lpstr>
      <vt:lpstr>Bilans</vt:lpstr>
      <vt:lpstr>Rach. przepływów pieniężnych</vt:lpstr>
      <vt:lpstr>Hist. dane kwartalne</vt:lpstr>
      <vt:lpstr>Hist. dane półroczne</vt:lpstr>
      <vt:lpstr>Hist. dane roczne</vt:lpstr>
    </vt:vector>
  </TitlesOfParts>
  <Company>TAURON Polska Energia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Barchanowski Rafał</dc:creator>
  <cp:lastModifiedBy>Wiechecka Irena</cp:lastModifiedBy>
  <cp:lastPrinted>2016-11-02T12:49:28Z</cp:lastPrinted>
  <dcterms:created xsi:type="dcterms:W3CDTF">2016-07-29T07:12:06Z</dcterms:created>
  <dcterms:modified xsi:type="dcterms:W3CDTF">2016-11-07T12:03:09Z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0x01010098602ADDBC435A498719F4E16DE65470</vt:lpwstr>
  </property>
  <property fmtid="{D5CDD505-2E9C-101B-9397-08002B2CF9AE}" pid="3" name="Order">
    <vt:r8>5000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