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tauron.sharepoint.com/sites/PCUWR-FCO/Shared Documents/01_Grupa/200_Sprawozdawczosc/2025/03/43_Spreadsheet/"/>
    </mc:Choice>
  </mc:AlternateContent>
  <xr:revisionPtr revIDLastSave="427" documentId="14_{439335FE-42F7-4F21-859C-333566C6D32F}" xr6:coauthVersionLast="47" xr6:coauthVersionMax="47" xr10:uidLastSave="{A9748A07-073A-450B-872B-B2ED3DE5DB81}"/>
  <bookViews>
    <workbookView xWindow="-120" yWindow="-120" windowWidth="29040" windowHeight="15720" tabRatio="783" activeTab="5" xr2:uid="{00000000-000D-0000-FFFF-FFFF00000000}"/>
  </bookViews>
  <sheets>
    <sheet name="Podst. dane_Key figures" sheetId="1" r:id="rId1"/>
    <sheet name="Dane operacyjne_Operating data" sheetId="11" r:id="rId2"/>
    <sheet name="Osiąg. moc_Achievable capac" sheetId="19" r:id="rId3"/>
    <sheet name="Zainst. moc_Installed capacity" sheetId="2" r:id="rId4"/>
    <sheet name="Segmenty_Segment's results" sheetId="3" r:id="rId5"/>
    <sheet name="Segmenty_Segment's results (2)" sheetId="20" r:id="rId6"/>
    <sheet name="Inwestycje_CAPEX" sheetId="4" r:id="rId7"/>
    <sheet name="Rach. zysków i strat_P&amp;L" sheetId="12" r:id="rId8"/>
    <sheet name="Bilans_Balance sheet" sheetId="14" r:id="rId9"/>
    <sheet name="Cash flow" sheetId="15" r:id="rId10"/>
    <sheet name="Hist. dane kwart. - Q figures" sheetId="16" r:id="rId11"/>
    <sheet name="Hist. dane półr. - H figures" sheetId="17" r:id="rId12"/>
    <sheet name="Hist. dane roczne - FY figures" sheetId="1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ID" localSheetId="8" hidden="1">"a3ffccd3-a76c-463b-bf83-4da8a3a62c2a"</definedName>
    <definedName name="ID" localSheetId="9" hidden="1">"1be7323e-6a98-4196-83c7-e8ab6ee9603b"</definedName>
    <definedName name="ID" localSheetId="1" hidden="1">"3f2f43cc-4d32-4176-b4fc-11f2a8526bc7"</definedName>
    <definedName name="ID" localSheetId="10" hidden="1">"8c847a63-4ab5-4ce4-b062-a8e6b0f1db7c"</definedName>
    <definedName name="ID" localSheetId="11" hidden="1">"92cc3e02-0484-4dbe-8499-612d2ae419f3"</definedName>
    <definedName name="ID" localSheetId="12" hidden="1">"067b70ad-b86f-4079-9a41-8b934b7fa18e"</definedName>
    <definedName name="ID" localSheetId="6" hidden="1">"caf5a817-87f7-475b-a888-eeb646dc652a"</definedName>
    <definedName name="ID" localSheetId="2" hidden="1">"c91a5454-955b-4b79-b2f0-6b47955a638f"</definedName>
    <definedName name="ID" localSheetId="0" hidden="1">"79491854-8f6c-4eed-a6ef-90817791c8fc"</definedName>
    <definedName name="ID" localSheetId="7" hidden="1">"74b23b1c-5e68-4ba1-afcf-da5093662947"</definedName>
    <definedName name="ID" localSheetId="4" hidden="1">"bee33b52-e99f-4935-96b3-fffca6723cb6"</definedName>
    <definedName name="ID" localSheetId="5" hidden="1">"bee33b52-e99f-4935-96b3-fffca6723cb6"</definedName>
    <definedName name="ID" localSheetId="3" hidden="1">"f9ea9b0f-3929-4e5a-b657-532f1d533556"</definedName>
    <definedName name="_xlnm.Print_Area" localSheetId="8">'Bilans_Balance sheet'!$A$3:$D$74</definedName>
    <definedName name="_xlnm.Print_Area" localSheetId="9">'Cash flow'!$A$2:$D$37</definedName>
    <definedName name="_xlnm.Print_Area" localSheetId="10">'Hist. dane kwart. - Q figures'!$A$199:$AM$244</definedName>
    <definedName name="_xlnm.Print_Area" localSheetId="11">'Hist. dane półr. - H figures'!$A$200:$X$244</definedName>
    <definedName name="_xlnm.Print_Area" localSheetId="12">'Hist. dane roczne - FY figures'!$A$198:$K$243</definedName>
    <definedName name="_xlnm.Print_Area" localSheetId="7">'Rach. zysków i strat_P&amp;L'!$A$2:$D$37</definedName>
    <definedName name="okres_bieżący_ecxel">[1]Arkusz1!$B$20</definedName>
    <definedName name="okres_bieżący_excel_en">[1]Arkusz1!$D$20</definedName>
    <definedName name="okres_porównywalny_excel">[1]Arkusz1!$B$21</definedName>
    <definedName name="okres_porównywalny_excel_en">[1]Arkusz1!$D$21</definedName>
    <definedName name="RndDec">[2]Settings!$E$9</definedName>
    <definedName name="RndScale">[2]Settings!$E$7</definedName>
  </definedNames>
  <calcPr calcId="191029"/>
  <customWorkbookViews>
    <customWorkbookView name="Wiechecka Irena - Widok osobisty" guid="{77EFF5B1-32BE-4080-9902-B97F43099026}" mergeInterval="0" personalView="1" maximized="1" xWindow="1592" yWindow="-8" windowWidth="1936" windowHeight="1096" tabRatio="796" activeSheetId="1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Marcin Siwczyk - Widok osobisty" guid="{627AEB6E-B9F1-415E-9A60-881757A50C67}" mergeInterval="0" personalView="1" maximized="1" xWindow="-8" yWindow="-8" windowWidth="1616" windowHeight="876" tabRatio="796" activeSheetId="2"/>
    <customWorkbookView name="Bielewicz Justyna - Widok osobisty" guid="{786DE933-524F-40D1-8033-C008687087FC}" mergeInterval="0" personalView="1" maximized="1" xWindow="-8" yWindow="-8" windowWidth="1936" windowHeight="1056" tabRatio="796" activeSheetId="1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20" l="1"/>
  <c r="O16" i="20"/>
  <c r="N17" i="20"/>
  <c r="O17" i="20"/>
  <c r="N18" i="20"/>
  <c r="O18" i="20"/>
  <c r="N19" i="20"/>
  <c r="O19" i="20"/>
  <c r="N20" i="20"/>
  <c r="O20" i="20"/>
  <c r="N21" i="20"/>
  <c r="O21" i="20"/>
  <c r="N22" i="20"/>
  <c r="O22" i="20"/>
  <c r="N23" i="20"/>
  <c r="O23" i="20"/>
  <c r="M23" i="20"/>
  <c r="M17" i="20"/>
  <c r="M18" i="20"/>
  <c r="M19" i="20"/>
  <c r="M20" i="20"/>
  <c r="M21" i="20"/>
  <c r="M22" i="20"/>
  <c r="M16" i="20"/>
  <c r="N4" i="20"/>
  <c r="O4" i="20"/>
  <c r="N5" i="20"/>
  <c r="O5" i="20"/>
  <c r="N6" i="20"/>
  <c r="O6" i="20"/>
  <c r="N7" i="20"/>
  <c r="O7" i="20"/>
  <c r="N8" i="20"/>
  <c r="O8" i="20"/>
  <c r="N9" i="20"/>
  <c r="O9" i="20"/>
  <c r="N11" i="20"/>
  <c r="O11" i="20"/>
  <c r="M5" i="20"/>
  <c r="M6" i="20"/>
  <c r="M7" i="20"/>
  <c r="M8" i="20"/>
  <c r="M9" i="20"/>
  <c r="M10" i="20"/>
  <c r="M11" i="20"/>
  <c r="M4" i="20"/>
  <c r="R19" i="20" l="1"/>
  <c r="G10" i="4"/>
  <c r="G9" i="4"/>
  <c r="G8" i="4"/>
  <c r="G7" i="4"/>
  <c r="G6" i="4"/>
  <c r="G5" i="4"/>
  <c r="F10" i="4"/>
  <c r="F9" i="4"/>
  <c r="F8" i="4"/>
  <c r="F7" i="4"/>
  <c r="F6" i="4"/>
  <c r="F5" i="4"/>
  <c r="C10" i="4"/>
  <c r="C9" i="4"/>
  <c r="C8" i="4"/>
  <c r="C7" i="4"/>
  <c r="C6" i="4"/>
  <c r="C5" i="4"/>
  <c r="D10" i="4"/>
  <c r="D9" i="4"/>
  <c r="D8" i="4"/>
  <c r="D7" i="4"/>
  <c r="D6" i="4"/>
  <c r="D5" i="4"/>
  <c r="K7" i="1"/>
  <c r="D6" i="1"/>
  <c r="D3" i="1"/>
  <c r="D22" i="1"/>
  <c r="O21" i="1"/>
  <c r="O20" i="1"/>
  <c r="M21" i="1"/>
  <c r="M20" i="1"/>
  <c r="K21" i="1"/>
  <c r="K20" i="1"/>
  <c r="I21" i="1"/>
  <c r="I20" i="1"/>
  <c r="D21" i="1"/>
  <c r="D20" i="1"/>
  <c r="F22" i="1"/>
  <c r="F21" i="1"/>
  <c r="F20" i="1"/>
  <c r="F7" i="1"/>
  <c r="F18" i="1"/>
  <c r="D18" i="1"/>
  <c r="O22" i="1"/>
  <c r="M22" i="1"/>
  <c r="K22" i="1"/>
  <c r="I22" i="1"/>
  <c r="S22" i="1"/>
  <c r="K6" i="1"/>
  <c r="K5" i="1"/>
  <c r="K4" i="1"/>
  <c r="K3" i="1"/>
  <c r="I6" i="1"/>
  <c r="I3" i="1"/>
  <c r="O7" i="1" l="1"/>
  <c r="K18" i="1"/>
  <c r="I18" i="1"/>
  <c r="O18" i="1"/>
  <c r="M18" i="1"/>
  <c r="K11" i="20"/>
  <c r="P11" i="20" s="1"/>
  <c r="K9" i="20"/>
  <c r="P9" i="20" s="1"/>
  <c r="K8" i="20"/>
  <c r="P8" i="20" s="1"/>
  <c r="K7" i="20"/>
  <c r="P7" i="20" s="1"/>
  <c r="K6" i="20"/>
  <c r="P6" i="20" s="1"/>
  <c r="K5" i="20"/>
  <c r="P5" i="20" s="1"/>
  <c r="K4" i="20"/>
  <c r="P4" i="20" s="1"/>
  <c r="C23" i="20"/>
  <c r="J9" i="20"/>
  <c r="J8" i="20"/>
  <c r="P22" i="20"/>
  <c r="J7" i="20"/>
  <c r="J6" i="20"/>
  <c r="E20" i="20"/>
  <c r="E19" i="20"/>
  <c r="H16" i="20"/>
  <c r="I16" i="20"/>
  <c r="J16" i="20"/>
  <c r="K16" i="20"/>
  <c r="P16" i="20" s="1"/>
  <c r="H17" i="20"/>
  <c r="I17" i="20"/>
  <c r="J17" i="20"/>
  <c r="K17" i="20"/>
  <c r="P17" i="20" s="1"/>
  <c r="H18" i="20"/>
  <c r="I18" i="20"/>
  <c r="J18" i="20"/>
  <c r="K18" i="20"/>
  <c r="P18" i="20" s="1"/>
  <c r="H19" i="20"/>
  <c r="I19" i="20"/>
  <c r="J19" i="20"/>
  <c r="K19" i="20"/>
  <c r="P19" i="20" s="1"/>
  <c r="H20" i="20"/>
  <c r="I20" i="20"/>
  <c r="J20" i="20"/>
  <c r="K20" i="20"/>
  <c r="P20" i="20" s="1"/>
  <c r="H21" i="20"/>
  <c r="I21" i="20"/>
  <c r="J21" i="20"/>
  <c r="K21" i="20"/>
  <c r="P21" i="20" s="1"/>
  <c r="H23" i="20"/>
  <c r="I23" i="20"/>
  <c r="J23" i="20"/>
  <c r="K23" i="20"/>
  <c r="P23" i="20" s="1"/>
  <c r="D20" i="20"/>
  <c r="D19" i="20"/>
  <c r="C20" i="20"/>
  <c r="C19" i="20"/>
  <c r="J5" i="20"/>
  <c r="J4" i="20"/>
  <c r="C16" i="20"/>
  <c r="I9" i="20"/>
  <c r="I8" i="20"/>
  <c r="I7" i="20"/>
  <c r="I6" i="20"/>
  <c r="I5" i="20"/>
  <c r="I4" i="20"/>
  <c r="H11" i="20"/>
  <c r="F23" i="20"/>
  <c r="E23" i="20"/>
  <c r="D23" i="20"/>
  <c r="F21" i="20"/>
  <c r="E21" i="20"/>
  <c r="D21" i="20"/>
  <c r="C21" i="20"/>
  <c r="F20" i="20"/>
  <c r="F19" i="20"/>
  <c r="F18" i="20"/>
  <c r="E18" i="20"/>
  <c r="D18" i="20"/>
  <c r="C18" i="20"/>
  <c r="F17" i="20"/>
  <c r="E17" i="20"/>
  <c r="D17" i="20"/>
  <c r="C17" i="20"/>
  <c r="F16" i="20"/>
  <c r="E16" i="20"/>
  <c r="D16" i="20"/>
  <c r="H9" i="20"/>
  <c r="E11" i="20"/>
  <c r="H8" i="20"/>
  <c r="C4" i="20"/>
  <c r="D4" i="20"/>
  <c r="E4" i="20"/>
  <c r="F4" i="20"/>
  <c r="H4" i="20"/>
  <c r="C5" i="20"/>
  <c r="D5" i="20"/>
  <c r="E5" i="20"/>
  <c r="F5" i="20"/>
  <c r="H5" i="20"/>
  <c r="C6" i="20"/>
  <c r="D6" i="20"/>
  <c r="E6" i="20"/>
  <c r="F6" i="20"/>
  <c r="H6" i="20"/>
  <c r="C7" i="20"/>
  <c r="D7" i="20"/>
  <c r="E7" i="20"/>
  <c r="F7" i="20"/>
  <c r="H7" i="20"/>
  <c r="C8" i="20"/>
  <c r="D8" i="20"/>
  <c r="E8" i="20"/>
  <c r="F8" i="20"/>
  <c r="C9" i="20"/>
  <c r="D9" i="20"/>
  <c r="E9" i="20"/>
  <c r="F9" i="20"/>
  <c r="C11" i="20"/>
  <c r="F11" i="3"/>
  <c r="C11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E5" i="3"/>
  <c r="D5" i="3"/>
  <c r="C5" i="3"/>
  <c r="F4" i="3"/>
  <c r="E4" i="3"/>
  <c r="D4" i="3"/>
  <c r="C4" i="3"/>
  <c r="H7" i="3"/>
  <c r="P4" i="3"/>
  <c r="P5" i="3"/>
  <c r="P6" i="3"/>
  <c r="P7" i="3"/>
  <c r="P8" i="3"/>
  <c r="P9" i="3"/>
  <c r="P10" i="3"/>
  <c r="P11" i="3"/>
  <c r="H6" i="3"/>
  <c r="H5" i="3"/>
  <c r="M10" i="3"/>
  <c r="N10" i="3"/>
  <c r="O10" i="3"/>
  <c r="H4" i="3"/>
  <c r="C53" i="19"/>
  <c r="C55" i="2"/>
  <c r="D55" i="2"/>
  <c r="C53" i="2"/>
  <c r="I6" i="11"/>
  <c r="J6" i="11"/>
  <c r="E5" i="11"/>
  <c r="E6" i="11"/>
  <c r="E7" i="11"/>
  <c r="E8" i="11"/>
  <c r="E9" i="11"/>
  <c r="E10" i="11"/>
  <c r="E11" i="11"/>
  <c r="E12" i="11"/>
  <c r="E13" i="11"/>
  <c r="J7" i="11"/>
  <c r="J8" i="11"/>
  <c r="J9" i="11"/>
  <c r="J10" i="11"/>
  <c r="J11" i="11"/>
  <c r="J12" i="11"/>
  <c r="J13" i="11"/>
  <c r="J5" i="11"/>
  <c r="AO23" i="20"/>
  <c r="AN23" i="20"/>
  <c r="AM23" i="20"/>
  <c r="AL23" i="20"/>
  <c r="AI23" i="20"/>
  <c r="AH23" i="20"/>
  <c r="AG23" i="20"/>
  <c r="AE23" i="20"/>
  <c r="AJ23" i="20" s="1"/>
  <c r="AD23" i="20"/>
  <c r="AC23" i="20"/>
  <c r="AB23" i="20"/>
  <c r="Y23" i="20"/>
  <c r="X23" i="20"/>
  <c r="W23" i="20"/>
  <c r="U23" i="20"/>
  <c r="Z23" i="20" s="1"/>
  <c r="T23" i="20"/>
  <c r="S23" i="20"/>
  <c r="R23" i="20"/>
  <c r="FN22" i="20"/>
  <c r="FM22" i="20"/>
  <c r="FL22" i="20"/>
  <c r="FE22" i="20"/>
  <c r="EU22" i="20"/>
  <c r="ET22" i="20"/>
  <c r="ES22" i="20"/>
  <c r="ER22" i="20"/>
  <c r="CC22" i="20"/>
  <c r="CB22" i="20"/>
  <c r="CA22" i="20"/>
  <c r="BZ22" i="20"/>
  <c r="BX22" i="20"/>
  <c r="BW22" i="20"/>
  <c r="BV22" i="20"/>
  <c r="BU22" i="20"/>
  <c r="BR22" i="20"/>
  <c r="BQ22" i="20"/>
  <c r="BP22" i="20"/>
  <c r="BN22" i="20"/>
  <c r="BM22" i="20"/>
  <c r="BL22" i="20"/>
  <c r="BK22" i="20"/>
  <c r="BH22" i="20"/>
  <c r="BG22" i="20"/>
  <c r="BF22" i="20"/>
  <c r="BC22" i="20"/>
  <c r="BB22" i="20"/>
  <c r="BA22" i="20"/>
  <c r="AS22" i="20"/>
  <c r="AR22" i="20"/>
  <c r="AQ22" i="20"/>
  <c r="JV21" i="20"/>
  <c r="JU21" i="20"/>
  <c r="JT21" i="20"/>
  <c r="JS21" i="20"/>
  <c r="FN21" i="20"/>
  <c r="FM21" i="20"/>
  <c r="FL21" i="20"/>
  <c r="FE21" i="20"/>
  <c r="EU21" i="20"/>
  <c r="ET21" i="20"/>
  <c r="ES21" i="20"/>
  <c r="ER21" i="20"/>
  <c r="EF21" i="20"/>
  <c r="EE21" i="20"/>
  <c r="ED21" i="20"/>
  <c r="EC21" i="20"/>
  <c r="DV21" i="20"/>
  <c r="DU21" i="20"/>
  <c r="DT21" i="20"/>
  <c r="DS21" i="20"/>
  <c r="DL21" i="20"/>
  <c r="DK21" i="20"/>
  <c r="DJ21" i="20"/>
  <c r="DI21" i="20"/>
  <c r="CV21" i="20"/>
  <c r="CU21" i="20"/>
  <c r="CT21" i="20"/>
  <c r="CM21" i="20"/>
  <c r="CC21" i="20"/>
  <c r="CB21" i="20"/>
  <c r="CA21" i="20"/>
  <c r="BZ21" i="20"/>
  <c r="BX21" i="20"/>
  <c r="BS21" i="20" s="1"/>
  <c r="BW21" i="20"/>
  <c r="BV21" i="20"/>
  <c r="BU21" i="20"/>
  <c r="BR21" i="20"/>
  <c r="BQ21" i="20"/>
  <c r="BP21" i="20"/>
  <c r="BN21" i="20"/>
  <c r="BM21" i="20"/>
  <c r="BL21" i="20"/>
  <c r="BK21" i="20"/>
  <c r="BH21" i="20"/>
  <c r="BG21" i="20"/>
  <c r="BF21" i="20"/>
  <c r="BD21" i="20"/>
  <c r="BI21" i="20" s="1"/>
  <c r="BC21" i="20"/>
  <c r="BB21" i="20"/>
  <c r="BA21" i="20"/>
  <c r="AT21" i="20"/>
  <c r="AY21" i="20" s="1"/>
  <c r="AS21" i="20"/>
  <c r="AR21" i="20"/>
  <c r="AQ21" i="20"/>
  <c r="AO21" i="20"/>
  <c r="AN21" i="20"/>
  <c r="AM21" i="20"/>
  <c r="AL21" i="20"/>
  <c r="AJ21" i="20"/>
  <c r="Y21" i="20"/>
  <c r="X21" i="20"/>
  <c r="W21" i="20"/>
  <c r="U21" i="20"/>
  <c r="Z21" i="20" s="1"/>
  <c r="T21" i="20"/>
  <c r="S21" i="20"/>
  <c r="R21" i="20"/>
  <c r="JV20" i="20"/>
  <c r="JU20" i="20"/>
  <c r="JT20" i="20"/>
  <c r="JS20" i="20"/>
  <c r="FN20" i="20"/>
  <c r="FM20" i="20"/>
  <c r="FL20" i="20"/>
  <c r="FE20" i="20"/>
  <c r="EU20" i="20"/>
  <c r="ET20" i="20"/>
  <c r="ES20" i="20"/>
  <c r="ER20" i="20"/>
  <c r="EF20" i="20"/>
  <c r="EE20" i="20"/>
  <c r="ED20" i="20"/>
  <c r="EC20" i="20"/>
  <c r="DV20" i="20"/>
  <c r="DU20" i="20"/>
  <c r="DT20" i="20"/>
  <c r="DS20" i="20"/>
  <c r="DL20" i="20"/>
  <c r="DK20" i="20"/>
  <c r="DJ20" i="20"/>
  <c r="DI20" i="20"/>
  <c r="CV20" i="20"/>
  <c r="CU20" i="20"/>
  <c r="CT20" i="20"/>
  <c r="CM20" i="20"/>
  <c r="CC20" i="20"/>
  <c r="CB20" i="20"/>
  <c r="CA20" i="20"/>
  <c r="BZ20" i="20"/>
  <c r="BX20" i="20"/>
  <c r="BS20" i="20" s="1"/>
  <c r="BW20" i="20"/>
  <c r="BV20" i="20"/>
  <c r="BU20" i="20"/>
  <c r="BR20" i="20"/>
  <c r="BQ20" i="20"/>
  <c r="BP20" i="20"/>
  <c r="BN20" i="20"/>
  <c r="BM20" i="20"/>
  <c r="BL20" i="20"/>
  <c r="BK20" i="20"/>
  <c r="BH20" i="20"/>
  <c r="BG20" i="20"/>
  <c r="BF20" i="20"/>
  <c r="BD20" i="20"/>
  <c r="BI20" i="20" s="1"/>
  <c r="BC20" i="20"/>
  <c r="BB20" i="20"/>
  <c r="BA20" i="20"/>
  <c r="AT20" i="20"/>
  <c r="AY20" i="20" s="1"/>
  <c r="AS20" i="20"/>
  <c r="AR20" i="20"/>
  <c r="AQ20" i="20"/>
  <c r="AO20" i="20"/>
  <c r="AN20" i="20"/>
  <c r="AM20" i="20"/>
  <c r="AL20" i="20"/>
  <c r="AJ20" i="20"/>
  <c r="AI20" i="20"/>
  <c r="AH20" i="20"/>
  <c r="AG20" i="20"/>
  <c r="AD20" i="20"/>
  <c r="AC20" i="20"/>
  <c r="AB20" i="20"/>
  <c r="Y20" i="20"/>
  <c r="X20" i="20"/>
  <c r="W20" i="20"/>
  <c r="U20" i="20"/>
  <c r="Z20" i="20" s="1"/>
  <c r="T20" i="20"/>
  <c r="S20" i="20"/>
  <c r="R20" i="20"/>
  <c r="JV19" i="20"/>
  <c r="JU19" i="20"/>
  <c r="JT19" i="20"/>
  <c r="JS19" i="20"/>
  <c r="FN19" i="20"/>
  <c r="FM19" i="20"/>
  <c r="FL19" i="20"/>
  <c r="FE19" i="20"/>
  <c r="EU19" i="20"/>
  <c r="ET19" i="20"/>
  <c r="ES19" i="20"/>
  <c r="ER19" i="20"/>
  <c r="EF19" i="20"/>
  <c r="EE19" i="20"/>
  <c r="ED19" i="20"/>
  <c r="EC19" i="20"/>
  <c r="DV19" i="20"/>
  <c r="DU19" i="20"/>
  <c r="DT19" i="20"/>
  <c r="DS19" i="20"/>
  <c r="DL19" i="20"/>
  <c r="DK19" i="20"/>
  <c r="DJ19" i="20"/>
  <c r="DI19" i="20"/>
  <c r="CV19" i="20"/>
  <c r="CU19" i="20"/>
  <c r="CT19" i="20"/>
  <c r="CM19" i="20"/>
  <c r="CC19" i="20"/>
  <c r="CB19" i="20"/>
  <c r="CA19" i="20"/>
  <c r="BZ19" i="20"/>
  <c r="BX19" i="20"/>
  <c r="BS19" i="20" s="1"/>
  <c r="BW19" i="20"/>
  <c r="BV19" i="20"/>
  <c r="BU19" i="20"/>
  <c r="BR19" i="20"/>
  <c r="BQ19" i="20"/>
  <c r="BP19" i="20"/>
  <c r="BN19" i="20"/>
  <c r="BM19" i="20"/>
  <c r="BL19" i="20"/>
  <c r="BK19" i="20"/>
  <c r="BH19" i="20"/>
  <c r="BG19" i="20"/>
  <c r="BF19" i="20"/>
  <c r="BD19" i="20"/>
  <c r="BI19" i="20" s="1"/>
  <c r="BC19" i="20"/>
  <c r="BB19" i="20"/>
  <c r="BA19" i="20"/>
  <c r="AT19" i="20"/>
  <c r="AY19" i="20" s="1"/>
  <c r="AS19" i="20"/>
  <c r="AR19" i="20"/>
  <c r="AQ19" i="20"/>
  <c r="AO19" i="20"/>
  <c r="AN19" i="20"/>
  <c r="AM19" i="20"/>
  <c r="AL19" i="20"/>
  <c r="AJ19" i="20"/>
  <c r="AI19" i="20"/>
  <c r="AH19" i="20"/>
  <c r="AG19" i="20"/>
  <c r="AD19" i="20"/>
  <c r="AC19" i="20"/>
  <c r="AB19" i="20"/>
  <c r="Y19" i="20"/>
  <c r="X19" i="20"/>
  <c r="W19" i="20"/>
  <c r="U19" i="20"/>
  <c r="Z19" i="20" s="1"/>
  <c r="T19" i="20"/>
  <c r="S19" i="20"/>
  <c r="FN18" i="20"/>
  <c r="FM18" i="20"/>
  <c r="FL18" i="20"/>
  <c r="FE18" i="20"/>
  <c r="EU18" i="20"/>
  <c r="ET18" i="20"/>
  <c r="ES18" i="20"/>
  <c r="ER18" i="20"/>
  <c r="EF18" i="20"/>
  <c r="EE18" i="20"/>
  <c r="ED18" i="20"/>
  <c r="EC18" i="20"/>
  <c r="DV18" i="20"/>
  <c r="DU18" i="20"/>
  <c r="DT18" i="20"/>
  <c r="DS18" i="20"/>
  <c r="DL18" i="20"/>
  <c r="DK18" i="20"/>
  <c r="DJ18" i="20"/>
  <c r="DI18" i="20"/>
  <c r="CV18" i="20"/>
  <c r="CU18" i="20"/>
  <c r="CT18" i="20"/>
  <c r="CM18" i="20"/>
  <c r="CC18" i="20"/>
  <c r="CB18" i="20"/>
  <c r="CA18" i="20"/>
  <c r="BZ18" i="20"/>
  <c r="BX18" i="20"/>
  <c r="BS18" i="20" s="1"/>
  <c r="BW18" i="20"/>
  <c r="BV18" i="20"/>
  <c r="BU18" i="20"/>
  <c r="BR18" i="20"/>
  <c r="BQ18" i="20"/>
  <c r="BP18" i="20"/>
  <c r="BN18" i="20"/>
  <c r="BM18" i="20"/>
  <c r="BL18" i="20"/>
  <c r="BK18" i="20"/>
  <c r="BH18" i="20"/>
  <c r="BG18" i="20"/>
  <c r="BF18" i="20"/>
  <c r="BD18" i="20"/>
  <c r="BI18" i="20" s="1"/>
  <c r="BC18" i="20"/>
  <c r="BB18" i="20"/>
  <c r="BA18" i="20"/>
  <c r="AT18" i="20"/>
  <c r="AY18" i="20" s="1"/>
  <c r="AS18" i="20"/>
  <c r="AR18" i="20"/>
  <c r="AQ18" i="20"/>
  <c r="AO18" i="20"/>
  <c r="AN18" i="20"/>
  <c r="AM18" i="20"/>
  <c r="AL18" i="20"/>
  <c r="AJ18" i="20"/>
  <c r="AB18" i="20"/>
  <c r="Y18" i="20"/>
  <c r="X18" i="20"/>
  <c r="W18" i="20"/>
  <c r="U18" i="20"/>
  <c r="Z18" i="20" s="1"/>
  <c r="T18" i="20"/>
  <c r="S18" i="20"/>
  <c r="R18" i="20"/>
  <c r="AE17" i="20"/>
  <c r="AJ17" i="20" s="1"/>
  <c r="Y17" i="20"/>
  <c r="X17" i="20"/>
  <c r="W17" i="20"/>
  <c r="U17" i="20"/>
  <c r="Z17" i="20" s="1"/>
  <c r="T17" i="20"/>
  <c r="S17" i="20"/>
  <c r="R17" i="20"/>
  <c r="JV16" i="20"/>
  <c r="JU16" i="20"/>
  <c r="JT16" i="20"/>
  <c r="JS16" i="20"/>
  <c r="FN16" i="20"/>
  <c r="FM16" i="20"/>
  <c r="FL16" i="20"/>
  <c r="FE16" i="20"/>
  <c r="EU16" i="20"/>
  <c r="ET16" i="20"/>
  <c r="ES16" i="20"/>
  <c r="ER16" i="20"/>
  <c r="EF16" i="20"/>
  <c r="EE16" i="20"/>
  <c r="ED16" i="20"/>
  <c r="EC16" i="20"/>
  <c r="DV16" i="20"/>
  <c r="DU16" i="20"/>
  <c r="DT16" i="20"/>
  <c r="DS16" i="20"/>
  <c r="DL16" i="20"/>
  <c r="DK16" i="20"/>
  <c r="DJ16" i="20"/>
  <c r="DI16" i="20"/>
  <c r="CV16" i="20"/>
  <c r="CU16" i="20"/>
  <c r="CT16" i="20"/>
  <c r="CM16" i="20"/>
  <c r="CC16" i="20"/>
  <c r="CB16" i="20"/>
  <c r="CA16" i="20"/>
  <c r="BZ16" i="20"/>
  <c r="BX16" i="20"/>
  <c r="BS16" i="20" s="1"/>
  <c r="BW16" i="20"/>
  <c r="BV16" i="20"/>
  <c r="BU16" i="20"/>
  <c r="BR16" i="20"/>
  <c r="BQ16" i="20"/>
  <c r="BP16" i="20"/>
  <c r="BN16" i="20"/>
  <c r="BM16" i="20"/>
  <c r="BL16" i="20"/>
  <c r="BK16" i="20"/>
  <c r="BH16" i="20"/>
  <c r="BG16" i="20"/>
  <c r="BF16" i="20"/>
  <c r="BD16" i="20"/>
  <c r="BI16" i="20" s="1"/>
  <c r="BC16" i="20"/>
  <c r="BB16" i="20"/>
  <c r="BA16" i="20"/>
  <c r="AT16" i="20"/>
  <c r="AY16" i="20" s="1"/>
  <c r="AS16" i="20"/>
  <c r="AR16" i="20"/>
  <c r="AQ16" i="20"/>
  <c r="AO16" i="20"/>
  <c r="AN16" i="20"/>
  <c r="AM16" i="20"/>
  <c r="AJ16" i="20"/>
  <c r="Y16" i="20"/>
  <c r="X16" i="20"/>
  <c r="W16" i="20"/>
  <c r="U16" i="20"/>
  <c r="Z16" i="20" s="1"/>
  <c r="T16" i="20"/>
  <c r="S16" i="20"/>
  <c r="R16" i="20"/>
  <c r="JV15" i="20"/>
  <c r="JU15" i="20"/>
  <c r="JT15" i="20"/>
  <c r="JS15" i="20"/>
  <c r="FN15" i="20"/>
  <c r="FM15" i="20"/>
  <c r="FL15" i="20"/>
  <c r="FE15" i="20"/>
  <c r="EU15" i="20"/>
  <c r="ET15" i="20"/>
  <c r="ES15" i="20"/>
  <c r="ER15" i="20"/>
  <c r="EF15" i="20"/>
  <c r="EE15" i="20"/>
  <c r="ED15" i="20"/>
  <c r="EC15" i="20"/>
  <c r="DV15" i="20"/>
  <c r="DU15" i="20"/>
  <c r="DT15" i="20"/>
  <c r="DS15" i="20"/>
  <c r="DL15" i="20"/>
  <c r="DK15" i="20"/>
  <c r="DJ15" i="20"/>
  <c r="DI15" i="20"/>
  <c r="CV15" i="20"/>
  <c r="CU15" i="20"/>
  <c r="CT15" i="20"/>
  <c r="CM15" i="20"/>
  <c r="CR14" i="20"/>
  <c r="CH14" i="20"/>
  <c r="AO11" i="20"/>
  <c r="AN11" i="20"/>
  <c r="AM11" i="20"/>
  <c r="AI11" i="20"/>
  <c r="AH11" i="20"/>
  <c r="AG11" i="20"/>
  <c r="AE11" i="20"/>
  <c r="AJ11" i="20" s="1"/>
  <c r="AD11" i="20"/>
  <c r="AC11" i="20"/>
  <c r="AB11" i="20"/>
  <c r="Y11" i="20"/>
  <c r="X11" i="20"/>
  <c r="W11" i="20"/>
  <c r="U11" i="20"/>
  <c r="Z11" i="20" s="1"/>
  <c r="T11" i="20"/>
  <c r="S11" i="20"/>
  <c r="R11" i="20"/>
  <c r="FN10" i="20"/>
  <c r="FM10" i="20"/>
  <c r="FL10" i="20"/>
  <c r="FE10" i="20"/>
  <c r="EU10" i="20"/>
  <c r="ET10" i="20"/>
  <c r="ES10" i="20"/>
  <c r="ER10" i="20"/>
  <c r="CC10" i="20"/>
  <c r="CB10" i="20"/>
  <c r="CA10" i="20"/>
  <c r="BZ10" i="20"/>
  <c r="JV9" i="20"/>
  <c r="JU9" i="20"/>
  <c r="JT9" i="20"/>
  <c r="JS9" i="20"/>
  <c r="FN9" i="20"/>
  <c r="FM9" i="20"/>
  <c r="FL9" i="20"/>
  <c r="FE9" i="20"/>
  <c r="EU9" i="20"/>
  <c r="ET9" i="20"/>
  <c r="ES9" i="20"/>
  <c r="ER9" i="20"/>
  <c r="EF9" i="20"/>
  <c r="EE9" i="20"/>
  <c r="ED9" i="20"/>
  <c r="EC9" i="20"/>
  <c r="DV9" i="20"/>
  <c r="DU9" i="20"/>
  <c r="DT9" i="20"/>
  <c r="DS9" i="20"/>
  <c r="DL9" i="20"/>
  <c r="DK9" i="20"/>
  <c r="DJ9" i="20"/>
  <c r="DI9" i="20"/>
  <c r="CV9" i="20"/>
  <c r="CU9" i="20"/>
  <c r="CT9" i="20"/>
  <c r="CM9" i="20"/>
  <c r="CC9" i="20"/>
  <c r="CB9" i="20"/>
  <c r="CA9" i="20"/>
  <c r="BZ9" i="20"/>
  <c r="BX9" i="20"/>
  <c r="BW9" i="20"/>
  <c r="BV9" i="20"/>
  <c r="BU9" i="20"/>
  <c r="BR9" i="20"/>
  <c r="BQ9" i="20"/>
  <c r="BP9" i="20"/>
  <c r="BN9" i="20"/>
  <c r="BS9" i="20" s="1"/>
  <c r="BM9" i="20"/>
  <c r="BL9" i="20"/>
  <c r="BK9" i="20"/>
  <c r="BH9" i="20"/>
  <c r="BG9" i="20"/>
  <c r="BF9" i="20"/>
  <c r="BD9" i="20"/>
  <c r="BI9" i="20" s="1"/>
  <c r="BC9" i="20"/>
  <c r="BB9" i="20"/>
  <c r="BA9" i="20"/>
  <c r="AT9" i="20"/>
  <c r="AY9" i="20" s="1"/>
  <c r="AS9" i="20"/>
  <c r="AR9" i="20"/>
  <c r="AQ9" i="20"/>
  <c r="AO9" i="20"/>
  <c r="AN9" i="20"/>
  <c r="AM9" i="20"/>
  <c r="AJ9" i="20"/>
  <c r="Y9" i="20"/>
  <c r="X9" i="20"/>
  <c r="W9" i="20"/>
  <c r="U9" i="20"/>
  <c r="Z9" i="20" s="1"/>
  <c r="T9" i="20"/>
  <c r="S9" i="20"/>
  <c r="R9" i="20"/>
  <c r="JV8" i="20"/>
  <c r="JU8" i="20"/>
  <c r="JT8" i="20"/>
  <c r="JS8" i="20"/>
  <c r="FN8" i="20"/>
  <c r="FM8" i="20"/>
  <c r="FL8" i="20"/>
  <c r="FE8" i="20"/>
  <c r="EU8" i="20"/>
  <c r="ET8" i="20"/>
  <c r="ES8" i="20"/>
  <c r="ER8" i="20"/>
  <c r="EF8" i="20"/>
  <c r="EE8" i="20"/>
  <c r="ED8" i="20"/>
  <c r="EC8" i="20"/>
  <c r="DV8" i="20"/>
  <c r="DU8" i="20"/>
  <c r="DT8" i="20"/>
  <c r="DS8" i="20"/>
  <c r="DL8" i="20"/>
  <c r="DK8" i="20"/>
  <c r="DJ8" i="20"/>
  <c r="DI8" i="20"/>
  <c r="CV8" i="20"/>
  <c r="CU8" i="20"/>
  <c r="CT8" i="20"/>
  <c r="CM8" i="20"/>
  <c r="CC8" i="20"/>
  <c r="CB8" i="20"/>
  <c r="CA8" i="20"/>
  <c r="BZ8" i="20"/>
  <c r="BX8" i="20"/>
  <c r="BW8" i="20"/>
  <c r="BV8" i="20"/>
  <c r="BU8" i="20"/>
  <c r="BR8" i="20"/>
  <c r="BQ8" i="20"/>
  <c r="BP8" i="20"/>
  <c r="BN8" i="20"/>
  <c r="BS8" i="20" s="1"/>
  <c r="BM8" i="20"/>
  <c r="BL8" i="20"/>
  <c r="BK8" i="20"/>
  <c r="BH8" i="20"/>
  <c r="BG8" i="20"/>
  <c r="BF8" i="20"/>
  <c r="BD8" i="20"/>
  <c r="BI8" i="20" s="1"/>
  <c r="BC8" i="20"/>
  <c r="BB8" i="20"/>
  <c r="BA8" i="20"/>
  <c r="AT8" i="20"/>
  <c r="AY8" i="20" s="1"/>
  <c r="AS8" i="20"/>
  <c r="AR8" i="20"/>
  <c r="AQ8" i="20"/>
  <c r="AO8" i="20"/>
  <c r="AN8" i="20"/>
  <c r="AM8" i="20"/>
  <c r="AJ8" i="20"/>
  <c r="AI8" i="20"/>
  <c r="AH8" i="20"/>
  <c r="AG8" i="20"/>
  <c r="AD8" i="20"/>
  <c r="AC8" i="20"/>
  <c r="AB8" i="20"/>
  <c r="Y8" i="20"/>
  <c r="X8" i="20"/>
  <c r="W8" i="20"/>
  <c r="U8" i="20"/>
  <c r="Z8" i="20" s="1"/>
  <c r="T8" i="20"/>
  <c r="S8" i="20"/>
  <c r="R8" i="20"/>
  <c r="JV7" i="20"/>
  <c r="JU7" i="20"/>
  <c r="JT7" i="20"/>
  <c r="JS7" i="20"/>
  <c r="FN7" i="20"/>
  <c r="FM7" i="20"/>
  <c r="FL7" i="20"/>
  <c r="FE7" i="20"/>
  <c r="EU7" i="20"/>
  <c r="ET7" i="20"/>
  <c r="ES7" i="20"/>
  <c r="ER7" i="20"/>
  <c r="EF7" i="20"/>
  <c r="EE7" i="20"/>
  <c r="ED7" i="20"/>
  <c r="EC7" i="20"/>
  <c r="DV7" i="20"/>
  <c r="DU7" i="20"/>
  <c r="DT7" i="20"/>
  <c r="DS7" i="20"/>
  <c r="DL7" i="20"/>
  <c r="DK7" i="20"/>
  <c r="DJ7" i="20"/>
  <c r="DI7" i="20"/>
  <c r="CV7" i="20"/>
  <c r="CU7" i="20"/>
  <c r="CT7" i="20"/>
  <c r="CM7" i="20"/>
  <c r="CC7" i="20"/>
  <c r="CB7" i="20"/>
  <c r="CA7" i="20"/>
  <c r="BZ7" i="20"/>
  <c r="BX7" i="20"/>
  <c r="BW7" i="20"/>
  <c r="BV7" i="20"/>
  <c r="BU7" i="20"/>
  <c r="BR7" i="20"/>
  <c r="BQ7" i="20"/>
  <c r="BP7" i="20"/>
  <c r="BN7" i="20"/>
  <c r="BS7" i="20" s="1"/>
  <c r="BM7" i="20"/>
  <c r="BL7" i="20"/>
  <c r="BK7" i="20"/>
  <c r="BH7" i="20"/>
  <c r="BG7" i="20"/>
  <c r="BF7" i="20"/>
  <c r="BD7" i="20"/>
  <c r="BI7" i="20" s="1"/>
  <c r="BC7" i="20"/>
  <c r="BB7" i="20"/>
  <c r="BA7" i="20"/>
  <c r="AT7" i="20"/>
  <c r="AY7" i="20" s="1"/>
  <c r="AS7" i="20"/>
  <c r="AR7" i="20"/>
  <c r="AQ7" i="20"/>
  <c r="AO7" i="20"/>
  <c r="AN7" i="20"/>
  <c r="AM7" i="20"/>
  <c r="AL7" i="20"/>
  <c r="AJ7" i="20"/>
  <c r="AI7" i="20"/>
  <c r="AH7" i="20"/>
  <c r="AG7" i="20"/>
  <c r="AD7" i="20"/>
  <c r="AC7" i="20"/>
  <c r="AB7" i="20"/>
  <c r="Y7" i="20"/>
  <c r="X7" i="20"/>
  <c r="W7" i="20"/>
  <c r="U7" i="20"/>
  <c r="Z7" i="20" s="1"/>
  <c r="T7" i="20"/>
  <c r="S7" i="20"/>
  <c r="R7" i="20"/>
  <c r="FN6" i="20"/>
  <c r="FM6" i="20"/>
  <c r="FL6" i="20"/>
  <c r="FE6" i="20"/>
  <c r="EU6" i="20"/>
  <c r="ET6" i="20"/>
  <c r="ES6" i="20"/>
  <c r="ER6" i="20"/>
  <c r="EF6" i="20"/>
  <c r="EE6" i="20"/>
  <c r="ED6" i="20"/>
  <c r="EC6" i="20"/>
  <c r="DV6" i="20"/>
  <c r="DU6" i="20"/>
  <c r="DT6" i="20"/>
  <c r="DS6" i="20"/>
  <c r="DL6" i="20"/>
  <c r="DK6" i="20"/>
  <c r="DJ6" i="20"/>
  <c r="DI6" i="20"/>
  <c r="CV6" i="20"/>
  <c r="CU6" i="20"/>
  <c r="CT6" i="20"/>
  <c r="CM6" i="20"/>
  <c r="CC6" i="20"/>
  <c r="CB6" i="20"/>
  <c r="CA6" i="20"/>
  <c r="BZ6" i="20"/>
  <c r="BX6" i="20"/>
  <c r="BW6" i="20"/>
  <c r="BV6" i="20"/>
  <c r="BU6" i="20"/>
  <c r="BR6" i="20"/>
  <c r="BQ6" i="20"/>
  <c r="BP6" i="20"/>
  <c r="BN6" i="20"/>
  <c r="BS6" i="20" s="1"/>
  <c r="BM6" i="20"/>
  <c r="BL6" i="20"/>
  <c r="BK6" i="20"/>
  <c r="BH6" i="20"/>
  <c r="BG6" i="20"/>
  <c r="BF6" i="20"/>
  <c r="BD6" i="20"/>
  <c r="BI6" i="20" s="1"/>
  <c r="BC6" i="20"/>
  <c r="BB6" i="20"/>
  <c r="BA6" i="20"/>
  <c r="AT6" i="20"/>
  <c r="AY6" i="20" s="1"/>
  <c r="AS6" i="20"/>
  <c r="AR6" i="20"/>
  <c r="AQ6" i="20"/>
  <c r="AO6" i="20"/>
  <c r="AN6" i="20"/>
  <c r="AM6" i="20"/>
  <c r="AL6" i="20"/>
  <c r="AJ6" i="20"/>
  <c r="Y6" i="20"/>
  <c r="X6" i="20"/>
  <c r="W6" i="20"/>
  <c r="U6" i="20"/>
  <c r="Z6" i="20" s="1"/>
  <c r="T6" i="20"/>
  <c r="S6" i="20"/>
  <c r="R6" i="20"/>
  <c r="AJ5" i="20"/>
  <c r="Y5" i="20"/>
  <c r="X5" i="20"/>
  <c r="W5" i="20"/>
  <c r="U5" i="20"/>
  <c r="Z5" i="20" s="1"/>
  <c r="T5" i="20"/>
  <c r="S5" i="20"/>
  <c r="R5" i="20"/>
  <c r="JV4" i="20"/>
  <c r="JU4" i="20"/>
  <c r="JT4" i="20"/>
  <c r="JS4" i="20"/>
  <c r="FN4" i="20"/>
  <c r="FM4" i="20"/>
  <c r="FL4" i="20"/>
  <c r="FE4" i="20"/>
  <c r="EU4" i="20"/>
  <c r="ET4" i="20"/>
  <c r="ES4" i="20"/>
  <c r="ER4" i="20"/>
  <c r="EF4" i="20"/>
  <c r="EE4" i="20"/>
  <c r="ED4" i="20"/>
  <c r="EC4" i="20"/>
  <c r="DV4" i="20"/>
  <c r="DU4" i="20"/>
  <c r="DT4" i="20"/>
  <c r="DS4" i="20"/>
  <c r="DL4" i="20"/>
  <c r="DK4" i="20"/>
  <c r="DJ4" i="20"/>
  <c r="DI4" i="20"/>
  <c r="CV4" i="20"/>
  <c r="CU4" i="20"/>
  <c r="CT4" i="20"/>
  <c r="CM4" i="20"/>
  <c r="CC4" i="20"/>
  <c r="CB4" i="20"/>
  <c r="CA4" i="20"/>
  <c r="BZ4" i="20"/>
  <c r="BX4" i="20"/>
  <c r="BW4" i="20"/>
  <c r="BV4" i="20"/>
  <c r="BU4" i="20"/>
  <c r="BR4" i="20"/>
  <c r="BQ4" i="20"/>
  <c r="BP4" i="20"/>
  <c r="BN4" i="20"/>
  <c r="BS4" i="20" s="1"/>
  <c r="BM4" i="20"/>
  <c r="BL4" i="20"/>
  <c r="BK4" i="20"/>
  <c r="BH4" i="20"/>
  <c r="BG4" i="20"/>
  <c r="BF4" i="20"/>
  <c r="BD4" i="20"/>
  <c r="BI4" i="20" s="1"/>
  <c r="BC4" i="20"/>
  <c r="BB4" i="20"/>
  <c r="BA4" i="20"/>
  <c r="AT4" i="20"/>
  <c r="AY4" i="20" s="1"/>
  <c r="AS4" i="20"/>
  <c r="AR4" i="20"/>
  <c r="AQ4" i="20"/>
  <c r="AO4" i="20"/>
  <c r="AJ4" i="20"/>
  <c r="Y4" i="20"/>
  <c r="X4" i="20"/>
  <c r="W4" i="20"/>
  <c r="U4" i="20"/>
  <c r="Z4" i="20" s="1"/>
  <c r="T4" i="20"/>
  <c r="S4" i="20"/>
  <c r="R4" i="20"/>
  <c r="JV3" i="20"/>
  <c r="JU3" i="20"/>
  <c r="JT3" i="20"/>
  <c r="JS3" i="20"/>
  <c r="FN3" i="20"/>
  <c r="FM3" i="20"/>
  <c r="FL3" i="20"/>
  <c r="FE3" i="20"/>
  <c r="EU3" i="20"/>
  <c r="ET3" i="20"/>
  <c r="ES3" i="20"/>
  <c r="ER3" i="20"/>
  <c r="EF3" i="20"/>
  <c r="EE3" i="20"/>
  <c r="ED3" i="20"/>
  <c r="EC3" i="20"/>
  <c r="DV3" i="20"/>
  <c r="DU3" i="20"/>
  <c r="DT3" i="20"/>
  <c r="DS3" i="20"/>
  <c r="DL3" i="20"/>
  <c r="DK3" i="20"/>
  <c r="DJ3" i="20"/>
  <c r="DI3" i="20"/>
  <c r="CV3" i="20"/>
  <c r="CU3" i="20"/>
  <c r="CT3" i="20"/>
  <c r="CM3" i="20"/>
  <c r="FJ2" i="20"/>
  <c r="EZ2" i="20"/>
  <c r="EK2" i="20"/>
  <c r="EA2" i="20"/>
  <c r="DQ2" i="20"/>
  <c r="CR2" i="20"/>
  <c r="CH2" i="20"/>
  <c r="J14" i="11" a="1"/>
  <c r="AX16" i="20" l="1"/>
  <c r="AV21" i="20"/>
  <c r="AX18" i="20"/>
  <c r="O3" i="1"/>
  <c r="O4" i="1"/>
  <c r="M3" i="1"/>
  <c r="O5" i="1"/>
  <c r="D4" i="1"/>
  <c r="E11" i="3"/>
  <c r="F11" i="20"/>
  <c r="AW16" i="20"/>
  <c r="AW21" i="20"/>
  <c r="AV9" i="20"/>
  <c r="AX21" i="20"/>
  <c r="AX8" i="20"/>
  <c r="AW9" i="20"/>
  <c r="AX6" i="20"/>
  <c r="AX9" i="20"/>
  <c r="AV20" i="20"/>
  <c r="AW20" i="20"/>
  <c r="AX20" i="20"/>
  <c r="AW4" i="20"/>
  <c r="AW19" i="20"/>
  <c r="AL12" i="20"/>
  <c r="AX19" i="20"/>
  <c r="AV7" i="20"/>
  <c r="AV8" i="20"/>
  <c r="AV16" i="20"/>
  <c r="AX4" i="20"/>
  <c r="AW7" i="20"/>
  <c r="AW8" i="20"/>
  <c r="AV22" i="20"/>
  <c r="AV6" i="20"/>
  <c r="AW6" i="20"/>
  <c r="AV19" i="20"/>
  <c r="AX7" i="20"/>
  <c r="AV18" i="20"/>
  <c r="AW18" i="20"/>
  <c r="AV4" i="20"/>
  <c r="AW22" i="20"/>
  <c r="AX22" i="20"/>
  <c r="AN12" i="20"/>
  <c r="J14" i="11"/>
  <c r="S99" i="16"/>
  <c r="S135" i="16"/>
  <c r="E14" i="11" a="1"/>
  <c r="J11" i="20" l="1"/>
  <c r="M5" i="1" s="1"/>
  <c r="D11" i="20"/>
  <c r="D11" i="3"/>
  <c r="E14" i="11"/>
  <c r="H25" i="17"/>
  <c r="R136" i="16"/>
  <c r="R127" i="16"/>
  <c r="J7" i="17"/>
  <c r="J12" i="17"/>
  <c r="J13" i="17"/>
  <c r="O136" i="16"/>
  <c r="O127" i="16"/>
  <c r="O17" i="16"/>
  <c r="I17" i="17" s="1"/>
  <c r="O16" i="16"/>
  <c r="I16" i="17" s="1"/>
  <c r="O13" i="16"/>
  <c r="O8" i="16"/>
  <c r="O5" i="16"/>
  <c r="I5" i="17" s="1"/>
  <c r="J136" i="17"/>
  <c r="J127" i="17"/>
  <c r="I136" i="17"/>
  <c r="I127" i="17"/>
  <c r="H136" i="17"/>
  <c r="H127" i="17"/>
  <c r="G136" i="17"/>
  <c r="G127" i="17"/>
  <c r="J45" i="17"/>
  <c r="I45" i="17"/>
  <c r="H45" i="17"/>
  <c r="G45" i="17"/>
  <c r="N136" i="16"/>
  <c r="N127" i="16"/>
  <c r="M136" i="16"/>
  <c r="M127" i="16"/>
  <c r="L136" i="16"/>
  <c r="L127" i="16"/>
  <c r="K136" i="16"/>
  <c r="K127" i="16"/>
  <c r="Q136" i="16"/>
  <c r="Q127" i="16"/>
  <c r="P136" i="16"/>
  <c r="P127" i="16"/>
  <c r="F19" i="18"/>
  <c r="F21" i="18"/>
  <c r="F23" i="18"/>
  <c r="F25" i="18"/>
  <c r="F26" i="18"/>
  <c r="F27" i="18"/>
  <c r="F28" i="18"/>
  <c r="F29" i="18"/>
  <c r="F30" i="18"/>
  <c r="F31" i="18"/>
  <c r="F32" i="18"/>
  <c r="F36" i="18"/>
  <c r="F37" i="18"/>
  <c r="F39" i="18"/>
  <c r="F40" i="18"/>
  <c r="F42" i="18"/>
  <c r="F43" i="18"/>
  <c r="F45" i="18"/>
  <c r="F14" i="18"/>
  <c r="F15" i="18"/>
  <c r="F16" i="18"/>
  <c r="F17" i="18"/>
  <c r="F13" i="18"/>
  <c r="F9" i="18"/>
  <c r="F10" i="18"/>
  <c r="F11" i="18"/>
  <c r="F12" i="18"/>
  <c r="F8" i="18"/>
  <c r="F6" i="18"/>
  <c r="F7" i="18"/>
  <c r="F5" i="18"/>
  <c r="J9" i="17"/>
  <c r="J10" i="17"/>
  <c r="J11" i="17"/>
  <c r="J18" i="17"/>
  <c r="J19" i="17"/>
  <c r="J20" i="17"/>
  <c r="J21" i="17"/>
  <c r="J22" i="17"/>
  <c r="J23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8" i="17"/>
  <c r="J6" i="17"/>
  <c r="J5" i="17"/>
  <c r="I6" i="17"/>
  <c r="I7" i="17"/>
  <c r="I8" i="17"/>
  <c r="I9" i="17"/>
  <c r="I10" i="17"/>
  <c r="I11" i="17"/>
  <c r="I12" i="17"/>
  <c r="I13" i="17"/>
  <c r="I14" i="17"/>
  <c r="I15" i="17"/>
  <c r="I18" i="17"/>
  <c r="I19" i="17"/>
  <c r="I20" i="17"/>
  <c r="I21" i="17"/>
  <c r="I22" i="17"/>
  <c r="I23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8" i="17"/>
  <c r="H6" i="17"/>
  <c r="H7" i="17"/>
  <c r="H5" i="17"/>
  <c r="G38" i="17"/>
  <c r="G39" i="17"/>
  <c r="G40" i="17"/>
  <c r="G41" i="17"/>
  <c r="G42" i="17"/>
  <c r="G43" i="17"/>
  <c r="G37" i="17"/>
  <c r="G36" i="17"/>
  <c r="G34" i="17"/>
  <c r="G32" i="17"/>
  <c r="G29" i="17"/>
  <c r="G30" i="17"/>
  <c r="G28" i="17"/>
  <c r="G26" i="17"/>
  <c r="G27" i="17"/>
  <c r="G25" i="17"/>
  <c r="G23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N19" i="16"/>
  <c r="N17" i="16"/>
  <c r="N16" i="16"/>
  <c r="N8" i="16"/>
  <c r="N7" i="16"/>
  <c r="M42" i="16"/>
  <c r="M39" i="16"/>
  <c r="M37" i="16"/>
  <c r="M23" i="16"/>
  <c r="M19" i="16"/>
  <c r="M17" i="16"/>
  <c r="M16" i="16"/>
  <c r="M13" i="16"/>
  <c r="M8" i="16"/>
  <c r="M7" i="16"/>
  <c r="M5" i="16"/>
  <c r="L42" i="16"/>
  <c r="L39" i="16"/>
  <c r="L37" i="16"/>
  <c r="L23" i="16"/>
  <c r="L19" i="16"/>
  <c r="L17" i="16"/>
  <c r="L16" i="16"/>
  <c r="K16" i="16"/>
  <c r="K13" i="16"/>
  <c r="K7" i="16"/>
  <c r="K5" i="16"/>
  <c r="L13" i="16"/>
  <c r="K9" i="16"/>
  <c r="L8" i="16"/>
  <c r="L7" i="16"/>
  <c r="L5" i="16"/>
  <c r="K42" i="16"/>
  <c r="K39" i="16"/>
  <c r="K37" i="16"/>
  <c r="K23" i="16"/>
  <c r="K19" i="16"/>
  <c r="K17" i="16"/>
  <c r="O42" i="16"/>
  <c r="O39" i="16"/>
  <c r="O37" i="16"/>
  <c r="O23" i="16"/>
  <c r="P42" i="16"/>
  <c r="P39" i="16"/>
  <c r="P37" i="16"/>
  <c r="P23" i="16"/>
  <c r="P17" i="16"/>
  <c r="P16" i="16"/>
  <c r="P13" i="16"/>
  <c r="P8" i="16"/>
  <c r="P5" i="16"/>
  <c r="Q42" i="16"/>
  <c r="Q39" i="16"/>
  <c r="Q37" i="16"/>
  <c r="Q23" i="16"/>
  <c r="Q17" i="16"/>
  <c r="Q16" i="16"/>
  <c r="Q13" i="16"/>
  <c r="Q8" i="16"/>
  <c r="Q5" i="16"/>
  <c r="N163" i="16"/>
  <c r="N164" i="16"/>
  <c r="N162" i="16"/>
  <c r="N158" i="16"/>
  <c r="N157" i="16"/>
  <c r="J121" i="16"/>
  <c r="J119" i="16"/>
  <c r="J117" i="16"/>
  <c r="J104" i="16"/>
  <c r="J101" i="16"/>
  <c r="J97" i="16"/>
  <c r="J90" i="16"/>
  <c r="J86" i="16"/>
  <c r="J85" i="16"/>
  <c r="J77" i="16"/>
  <c r="J75" i="16"/>
  <c r="J66" i="16"/>
  <c r="N121" i="16"/>
  <c r="N119" i="16"/>
  <c r="N117" i="16"/>
  <c r="N104" i="16"/>
  <c r="N101" i="16"/>
  <c r="N99" i="16"/>
  <c r="N97" i="16"/>
  <c r="N90" i="16"/>
  <c r="N86" i="16"/>
  <c r="N85" i="16"/>
  <c r="N77" i="16"/>
  <c r="N75" i="16"/>
  <c r="N66" i="16"/>
  <c r="I4" i="1" l="1"/>
  <c r="I5" i="1"/>
  <c r="D5" i="1"/>
  <c r="I11" i="20"/>
  <c r="M4" i="1" s="1"/>
  <c r="J17" i="17"/>
  <c r="J16" i="17"/>
  <c r="J15" i="17"/>
  <c r="J14" i="17"/>
  <c r="H135" i="17"/>
  <c r="H130" i="17"/>
  <c r="F136" i="18"/>
  <c r="F127" i="18"/>
  <c r="G135" i="18"/>
  <c r="E121" i="18"/>
  <c r="F121" i="18"/>
  <c r="E119" i="18"/>
  <c r="F119" i="18"/>
  <c r="E117" i="18"/>
  <c r="F117" i="18"/>
  <c r="E104" i="18"/>
  <c r="F104" i="18"/>
  <c r="E101" i="18"/>
  <c r="F101" i="18"/>
  <c r="E97" i="18"/>
  <c r="F97" i="18"/>
  <c r="G99" i="18"/>
  <c r="E90" i="18"/>
  <c r="F90" i="18"/>
  <c r="E86" i="18"/>
  <c r="E85" i="18"/>
  <c r="F86" i="18"/>
  <c r="F85" i="18"/>
  <c r="F77" i="18"/>
  <c r="E77" i="18"/>
  <c r="F75" i="18"/>
  <c r="E75" i="18"/>
  <c r="E66" i="18"/>
  <c r="F66" i="18"/>
  <c r="AM23" i="3"/>
  <c r="AO23" i="3"/>
  <c r="AN23" i="3"/>
  <c r="AL23" i="3"/>
  <c r="AI23" i="3"/>
  <c r="AH23" i="3"/>
  <c r="AG23" i="3"/>
  <c r="AE23" i="3"/>
  <c r="AJ23" i="3" s="1"/>
  <c r="AD23" i="3"/>
  <c r="AC23" i="3"/>
  <c r="AB23" i="3"/>
  <c r="Y23" i="3"/>
  <c r="X23" i="3"/>
  <c r="W23" i="3"/>
  <c r="U23" i="3"/>
  <c r="Z23" i="3" s="1"/>
  <c r="T23" i="3"/>
  <c r="S23" i="3"/>
  <c r="R23" i="3"/>
  <c r="AO11" i="3"/>
  <c r="AN11" i="3"/>
  <c r="AM11" i="3"/>
  <c r="AL11" i="3"/>
  <c r="AI11" i="3"/>
  <c r="AH11" i="3"/>
  <c r="AG11" i="3"/>
  <c r="AE11" i="3"/>
  <c r="AJ11" i="3" s="1"/>
  <c r="AD11" i="3"/>
  <c r="AC11" i="3"/>
  <c r="AB11" i="3"/>
  <c r="Y11" i="3"/>
  <c r="X11" i="3"/>
  <c r="W11" i="3"/>
  <c r="U11" i="3"/>
  <c r="Z11" i="3" s="1"/>
  <c r="T11" i="3"/>
  <c r="O11" i="3" s="1"/>
  <c r="S11" i="3"/>
  <c r="N11" i="3" s="1"/>
  <c r="R11" i="3"/>
  <c r="M11" i="3" s="1"/>
  <c r="P10" i="4" l="1"/>
  <c r="O10" i="4"/>
  <c r="M10" i="4"/>
  <c r="J10" i="4" s="1"/>
  <c r="L10" i="4"/>
  <c r="I10" i="4" s="1"/>
  <c r="P9" i="4"/>
  <c r="O9" i="4"/>
  <c r="M9" i="4"/>
  <c r="J9" i="4" s="1"/>
  <c r="L9" i="4"/>
  <c r="I9" i="4" s="1"/>
  <c r="P8" i="4"/>
  <c r="O8" i="4"/>
  <c r="M8" i="4"/>
  <c r="J8" i="4" s="1"/>
  <c r="L8" i="4"/>
  <c r="I8" i="4" s="1"/>
  <c r="P7" i="4"/>
  <c r="O7" i="4"/>
  <c r="M7" i="4"/>
  <c r="J7" i="4" s="1"/>
  <c r="L7" i="4"/>
  <c r="I7" i="4" s="1"/>
  <c r="P6" i="4"/>
  <c r="O6" i="4"/>
  <c r="M6" i="4"/>
  <c r="J6" i="4" s="1"/>
  <c r="L6" i="4"/>
  <c r="I6" i="4" s="1"/>
  <c r="P5" i="4"/>
  <c r="O5" i="4"/>
  <c r="M5" i="4"/>
  <c r="J5" i="4" s="1"/>
  <c r="L5" i="4"/>
  <c r="I5" i="4" s="1"/>
  <c r="Y21" i="3"/>
  <c r="X21" i="3"/>
  <c r="W21" i="3"/>
  <c r="Y20" i="3"/>
  <c r="X20" i="3"/>
  <c r="W20" i="3"/>
  <c r="Y19" i="3"/>
  <c r="X19" i="3"/>
  <c r="W19" i="3"/>
  <c r="Y18" i="3"/>
  <c r="X18" i="3"/>
  <c r="W18" i="3"/>
  <c r="Y17" i="3"/>
  <c r="X17" i="3"/>
  <c r="W17" i="3"/>
  <c r="Y16" i="3"/>
  <c r="X16" i="3"/>
  <c r="W16" i="3"/>
  <c r="Y9" i="3"/>
  <c r="X9" i="3"/>
  <c r="W9" i="3"/>
  <c r="Y8" i="3"/>
  <c r="X8" i="3"/>
  <c r="W8" i="3"/>
  <c r="Y7" i="3"/>
  <c r="X7" i="3"/>
  <c r="W7" i="3"/>
  <c r="Y6" i="3"/>
  <c r="X6" i="3"/>
  <c r="W6" i="3"/>
  <c r="Y5" i="3"/>
  <c r="X5" i="3"/>
  <c r="W5" i="3"/>
  <c r="Y4" i="3"/>
  <c r="X4" i="3"/>
  <c r="W4" i="3"/>
  <c r="U21" i="3"/>
  <c r="T21" i="3"/>
  <c r="S21" i="3"/>
  <c r="R21" i="3"/>
  <c r="U20" i="3"/>
  <c r="T20" i="3"/>
  <c r="S20" i="3"/>
  <c r="R20" i="3"/>
  <c r="U19" i="3"/>
  <c r="T19" i="3"/>
  <c r="S19" i="3"/>
  <c r="R19" i="3"/>
  <c r="U18" i="3"/>
  <c r="T18" i="3"/>
  <c r="S18" i="3"/>
  <c r="R18" i="3"/>
  <c r="U17" i="3"/>
  <c r="T17" i="3"/>
  <c r="S17" i="3"/>
  <c r="R17" i="3"/>
  <c r="U16" i="3"/>
  <c r="T16" i="3"/>
  <c r="S16" i="3"/>
  <c r="R16" i="3"/>
  <c r="U9" i="3"/>
  <c r="T9" i="3"/>
  <c r="O9" i="3" s="1"/>
  <c r="S9" i="3"/>
  <c r="N9" i="3" s="1"/>
  <c r="R9" i="3"/>
  <c r="M9" i="3" s="1"/>
  <c r="U8" i="3"/>
  <c r="T8" i="3"/>
  <c r="O8" i="3" s="1"/>
  <c r="S8" i="3"/>
  <c r="N8" i="3" s="1"/>
  <c r="R8" i="3"/>
  <c r="M8" i="3" s="1"/>
  <c r="U7" i="3"/>
  <c r="T7" i="3"/>
  <c r="O7" i="3" s="1"/>
  <c r="S7" i="3"/>
  <c r="N7" i="3" s="1"/>
  <c r="R7" i="3"/>
  <c r="M7" i="3" s="1"/>
  <c r="U6" i="3"/>
  <c r="T6" i="3"/>
  <c r="O6" i="3" s="1"/>
  <c r="S6" i="3"/>
  <c r="N6" i="3" s="1"/>
  <c r="R6" i="3"/>
  <c r="M6" i="3" s="1"/>
  <c r="U5" i="3"/>
  <c r="T5" i="3"/>
  <c r="O5" i="3" s="1"/>
  <c r="S5" i="3"/>
  <c r="N5" i="3" s="1"/>
  <c r="R5" i="3"/>
  <c r="M5" i="3" s="1"/>
  <c r="U4" i="3"/>
  <c r="T4" i="3"/>
  <c r="O4" i="3" s="1"/>
  <c r="S4" i="3"/>
  <c r="N4" i="3" s="1"/>
  <c r="R4" i="3"/>
  <c r="M4" i="3" s="1"/>
  <c r="Z16" i="3" l="1"/>
  <c r="Z17" i="3"/>
  <c r="Z18" i="3"/>
  <c r="Z19" i="3"/>
  <c r="Z20" i="3"/>
  <c r="Z21" i="3"/>
  <c r="Z4" i="3"/>
  <c r="Z5" i="3"/>
  <c r="Z6" i="3"/>
  <c r="Z7" i="3"/>
  <c r="Z8" i="3"/>
  <c r="Z9" i="3"/>
  <c r="W20" i="1"/>
  <c r="W21" i="1"/>
  <c r="W22" i="1"/>
  <c r="U21" i="1"/>
  <c r="U22" i="1"/>
  <c r="Q20" i="1"/>
  <c r="S20" i="1"/>
  <c r="S21" i="1"/>
  <c r="W18" i="1"/>
  <c r="U18" i="1"/>
  <c r="S18" i="1"/>
  <c r="Q18" i="1"/>
  <c r="U7" i="1"/>
  <c r="S7" i="1"/>
  <c r="W7" i="1" s="1"/>
  <c r="M163" i="16"/>
  <c r="M158" i="16"/>
  <c r="M157" i="16"/>
  <c r="M135" i="16"/>
  <c r="AJ4" i="3"/>
  <c r="AJ5" i="3"/>
  <c r="AJ6" i="3"/>
  <c r="AJ7" i="3"/>
  <c r="AJ8" i="3"/>
  <c r="AJ9" i="3"/>
  <c r="AJ16" i="3"/>
  <c r="AJ18" i="3"/>
  <c r="AJ19" i="3"/>
  <c r="AJ20" i="3"/>
  <c r="AJ21" i="3"/>
  <c r="AE17" i="3"/>
  <c r="AJ17" i="3" s="1"/>
  <c r="AB18" i="3" l="1"/>
  <c r="M6" i="11"/>
  <c r="AA22" i="1"/>
  <c r="AA20" i="1"/>
  <c r="Y20" i="1"/>
  <c r="AC20" i="1" s="1"/>
  <c r="AC21" i="1"/>
  <c r="AC22" i="1"/>
  <c r="AC7" i="1"/>
  <c r="AA7" i="1"/>
  <c r="AE7" i="1" s="1"/>
  <c r="AE18" i="1"/>
  <c r="AC18" i="1"/>
  <c r="AA18" i="1"/>
  <c r="Y18" i="1"/>
  <c r="L130" i="16"/>
  <c r="G135" i="17"/>
  <c r="I135" i="17"/>
  <c r="I99" i="17"/>
  <c r="U20" i="1" l="1"/>
  <c r="Q6" i="1"/>
  <c r="D35" i="2"/>
  <c r="D58" i="2" s="1"/>
  <c r="C58" i="2"/>
  <c r="U6" i="1" l="1"/>
  <c r="M6" i="1"/>
  <c r="Y10" i="4"/>
  <c r="Y9" i="4"/>
  <c r="Y8" i="4"/>
  <c r="Y7" i="4"/>
  <c r="Y5" i="4"/>
  <c r="X10" i="4"/>
  <c r="X9" i="4"/>
  <c r="X8" i="4"/>
  <c r="X7" i="4"/>
  <c r="X5" i="4"/>
  <c r="AO21" i="3"/>
  <c r="AO20" i="3"/>
  <c r="AO19" i="3"/>
  <c r="AO18" i="3"/>
  <c r="AO16" i="3"/>
  <c r="AN21" i="3"/>
  <c r="AN20" i="3"/>
  <c r="AN19" i="3"/>
  <c r="AN18" i="3"/>
  <c r="AN16" i="3"/>
  <c r="AM21" i="3"/>
  <c r="AM20" i="3"/>
  <c r="AM19" i="3"/>
  <c r="AM18" i="3"/>
  <c r="AM16" i="3"/>
  <c r="AL21" i="3"/>
  <c r="AL20" i="3"/>
  <c r="AL19" i="3"/>
  <c r="AL18" i="3"/>
  <c r="AL16" i="3"/>
  <c r="AO9" i="3"/>
  <c r="AO8" i="3"/>
  <c r="AO7" i="3"/>
  <c r="AO6" i="3"/>
  <c r="AO4" i="3"/>
  <c r="AN9" i="3"/>
  <c r="AN8" i="3"/>
  <c r="AN7" i="3"/>
  <c r="AN6" i="3"/>
  <c r="AN4" i="3"/>
  <c r="AM9" i="3"/>
  <c r="AM8" i="3"/>
  <c r="AM7" i="3"/>
  <c r="AM6" i="3"/>
  <c r="AM4" i="3"/>
  <c r="AL9" i="3"/>
  <c r="AL8" i="3"/>
  <c r="AL7" i="3"/>
  <c r="AL6" i="3"/>
  <c r="AL4" i="3"/>
  <c r="AI6" i="1"/>
  <c r="AE6" i="1" s="1"/>
  <c r="AI5" i="1"/>
  <c r="AE5" i="1" s="1"/>
  <c r="AI4" i="1"/>
  <c r="AE4" i="1" s="1"/>
  <c r="AI3" i="1"/>
  <c r="AE3" i="1" s="1"/>
  <c r="AI22" i="1"/>
  <c r="AE22" i="1" s="1"/>
  <c r="AI21" i="1"/>
  <c r="AE21" i="1" s="1"/>
  <c r="AI20" i="1"/>
  <c r="AE20" i="1" s="1"/>
  <c r="AI18" i="1"/>
  <c r="AG18" i="1"/>
  <c r="AG6" i="1"/>
  <c r="AG3" i="1"/>
  <c r="AC3" i="1" l="1"/>
  <c r="F3" i="1"/>
  <c r="AC6" i="1"/>
  <c r="F6" i="1"/>
  <c r="S3" i="1"/>
  <c r="W3" i="1" s="1"/>
  <c r="Q3" i="1"/>
  <c r="U3" i="1" s="1"/>
  <c r="AG4" i="1"/>
  <c r="AG5" i="1"/>
  <c r="AC5" i="1" l="1"/>
  <c r="F5" i="1"/>
  <c r="AC4" i="1"/>
  <c r="F4" i="1"/>
  <c r="Q5" i="1"/>
  <c r="U5" i="1" s="1"/>
  <c r="Q4" i="1"/>
  <c r="U4" i="1" s="1"/>
  <c r="O135" i="16"/>
  <c r="K135" i="16"/>
  <c r="L135" i="16" s="1"/>
  <c r="O99" i="16"/>
  <c r="Q7" i="11" l="1"/>
  <c r="AA5" i="4" l="1"/>
  <c r="AB5" i="4"/>
  <c r="AA7" i="4"/>
  <c r="AB7" i="4"/>
  <c r="AA8" i="4"/>
  <c r="AB8" i="4"/>
  <c r="AA9" i="4"/>
  <c r="AB9" i="4"/>
  <c r="AA10" i="4"/>
  <c r="AB10" i="4"/>
  <c r="AB11" i="4"/>
  <c r="AS22" i="3"/>
  <c r="AR22" i="3"/>
  <c r="AQ22" i="3"/>
  <c r="AT21" i="3"/>
  <c r="AS21" i="3"/>
  <c r="AR21" i="3"/>
  <c r="AQ21" i="3"/>
  <c r="AT20" i="3"/>
  <c r="AY20" i="3" s="1"/>
  <c r="AS20" i="3"/>
  <c r="AR20" i="3"/>
  <c r="AQ20" i="3"/>
  <c r="AT19" i="3"/>
  <c r="AY19" i="3" s="1"/>
  <c r="AS19" i="3"/>
  <c r="AR19" i="3"/>
  <c r="AQ19" i="3"/>
  <c r="AT18" i="3"/>
  <c r="AY18" i="3" s="1"/>
  <c r="AS18" i="3"/>
  <c r="AR18" i="3"/>
  <c r="AQ18" i="3"/>
  <c r="AT16" i="3"/>
  <c r="AY16" i="3" s="1"/>
  <c r="AS16" i="3"/>
  <c r="AR16" i="3"/>
  <c r="AQ16" i="3"/>
  <c r="AT9" i="3"/>
  <c r="AY9" i="3" s="1"/>
  <c r="AS9" i="3"/>
  <c r="AR9" i="3"/>
  <c r="AQ9" i="3"/>
  <c r="AT8" i="3"/>
  <c r="AY8" i="3" s="1"/>
  <c r="AS8" i="3"/>
  <c r="AR8" i="3"/>
  <c r="AQ8" i="3"/>
  <c r="AT7" i="3"/>
  <c r="AY7" i="3" s="1"/>
  <c r="AS7" i="3"/>
  <c r="AR7" i="3"/>
  <c r="AQ7" i="3"/>
  <c r="AT6" i="3"/>
  <c r="AY6" i="3" s="1"/>
  <c r="AS6" i="3"/>
  <c r="AR6" i="3"/>
  <c r="AQ6" i="3"/>
  <c r="AT4" i="3"/>
  <c r="AY4" i="3" s="1"/>
  <c r="AS4" i="3"/>
  <c r="AR4" i="3"/>
  <c r="AQ4" i="3"/>
  <c r="AY21" i="3"/>
  <c r="AK20" i="1"/>
  <c r="AO20" i="1" s="1"/>
  <c r="AK6" i="1"/>
  <c r="AK5" i="1"/>
  <c r="AK4" i="1"/>
  <c r="AK3" i="1"/>
  <c r="AM22" i="1" l="1"/>
  <c r="AM21" i="1"/>
  <c r="AM19" i="1"/>
  <c r="AQ18" i="1"/>
  <c r="AO18" i="1"/>
  <c r="AM18" i="1"/>
  <c r="AK18" i="1"/>
  <c r="AM7" i="1"/>
  <c r="AM6" i="1"/>
  <c r="AM5" i="1"/>
  <c r="AM4" i="1"/>
  <c r="AM3" i="1"/>
  <c r="C39" i="2"/>
  <c r="C42" i="19" l="1"/>
  <c r="C39" i="19"/>
  <c r="P13" i="11"/>
  <c r="P6" i="11"/>
  <c r="O12" i="11"/>
  <c r="O14" i="11" a="1"/>
  <c r="O14" i="11" l="1"/>
  <c r="H167" i="17"/>
  <c r="F135" i="18"/>
  <c r="F99" i="18"/>
  <c r="BH22" i="3" l="1"/>
  <c r="BG22" i="3"/>
  <c r="BF22" i="3"/>
  <c r="BH21" i="3"/>
  <c r="BG21" i="3"/>
  <c r="BF21" i="3"/>
  <c r="BH20" i="3"/>
  <c r="BG20" i="3"/>
  <c r="BF20" i="3"/>
  <c r="BH19" i="3"/>
  <c r="BG19" i="3"/>
  <c r="BF19" i="3"/>
  <c r="BH18" i="3"/>
  <c r="BG18" i="3"/>
  <c r="BF18" i="3"/>
  <c r="BH16" i="3"/>
  <c r="BG16" i="3"/>
  <c r="BF16" i="3"/>
  <c r="BH9" i="3"/>
  <c r="BG9" i="3"/>
  <c r="BF9" i="3"/>
  <c r="BH8" i="3"/>
  <c r="BG8" i="3"/>
  <c r="BF8" i="3"/>
  <c r="BH7" i="3"/>
  <c r="BG7" i="3"/>
  <c r="BF7" i="3"/>
  <c r="BH6" i="3"/>
  <c r="BG6" i="3"/>
  <c r="BF6" i="3"/>
  <c r="BH4" i="3"/>
  <c r="BG4" i="3"/>
  <c r="BF4" i="3"/>
  <c r="AK11" i="4"/>
  <c r="AK10" i="4"/>
  <c r="AJ10" i="4"/>
  <c r="AK9" i="4"/>
  <c r="AJ9" i="4"/>
  <c r="AK8" i="4"/>
  <c r="AJ8" i="4"/>
  <c r="AK7" i="4"/>
  <c r="AJ7" i="4"/>
  <c r="AK5" i="4"/>
  <c r="AJ5" i="4"/>
  <c r="AH11" i="4"/>
  <c r="AE11" i="4" s="1"/>
  <c r="AH10" i="4"/>
  <c r="AE10" i="4" s="1"/>
  <c r="AG10" i="4"/>
  <c r="AD10" i="4" s="1"/>
  <c r="AH9" i="4"/>
  <c r="AE9" i="4" s="1"/>
  <c r="AG9" i="4"/>
  <c r="AD9" i="4" s="1"/>
  <c r="AH8" i="4"/>
  <c r="AE8" i="4" s="1"/>
  <c r="AG8" i="4"/>
  <c r="AD8" i="4" s="1"/>
  <c r="AH7" i="4"/>
  <c r="AE7" i="4" s="1"/>
  <c r="AG7" i="4"/>
  <c r="AD7" i="4" s="1"/>
  <c r="AH5" i="4"/>
  <c r="AE5" i="4" s="1"/>
  <c r="AG5" i="4"/>
  <c r="AD5" i="4" s="1"/>
  <c r="BD16" i="3"/>
  <c r="BI16" i="3" s="1"/>
  <c r="BD18" i="3"/>
  <c r="BI18" i="3" s="1"/>
  <c r="BD19" i="3"/>
  <c r="BI19" i="3" s="1"/>
  <c r="BD20" i="3"/>
  <c r="BI20" i="3" s="1"/>
  <c r="BD21" i="3"/>
  <c r="BI21" i="3" s="1"/>
  <c r="BD4" i="3"/>
  <c r="BI4" i="3" s="1"/>
  <c r="BD6" i="3"/>
  <c r="BI6" i="3" s="1"/>
  <c r="BD7" i="3"/>
  <c r="BI7" i="3" s="1"/>
  <c r="BD8" i="3"/>
  <c r="BI8" i="3" s="1"/>
  <c r="BD9" i="3"/>
  <c r="BI9" i="3" s="1"/>
  <c r="BC22" i="3"/>
  <c r="AX22" i="3" s="1"/>
  <c r="BB22" i="3"/>
  <c r="AW22" i="3" s="1"/>
  <c r="BA22" i="3"/>
  <c r="AV22" i="3" s="1"/>
  <c r="BC21" i="3"/>
  <c r="AX21" i="3" s="1"/>
  <c r="BB21" i="3"/>
  <c r="AW21" i="3" s="1"/>
  <c r="BA21" i="3"/>
  <c r="AV21" i="3" s="1"/>
  <c r="BC20" i="3"/>
  <c r="AX20" i="3" s="1"/>
  <c r="BB20" i="3"/>
  <c r="AW20" i="3" s="1"/>
  <c r="BA20" i="3"/>
  <c r="AV20" i="3" s="1"/>
  <c r="BC19" i="3"/>
  <c r="AX19" i="3" s="1"/>
  <c r="BB19" i="3"/>
  <c r="AW19" i="3" s="1"/>
  <c r="BA19" i="3"/>
  <c r="AV19" i="3" s="1"/>
  <c r="BC18" i="3"/>
  <c r="AX18" i="3" s="1"/>
  <c r="BB18" i="3"/>
  <c r="AW18" i="3" s="1"/>
  <c r="BA18" i="3"/>
  <c r="AV18" i="3" s="1"/>
  <c r="BC16" i="3"/>
  <c r="AX16" i="3" s="1"/>
  <c r="BB16" i="3"/>
  <c r="AW16" i="3" s="1"/>
  <c r="BA16" i="3"/>
  <c r="AV16" i="3" s="1"/>
  <c r="BC9" i="3"/>
  <c r="AX9" i="3" s="1"/>
  <c r="BB9" i="3"/>
  <c r="AW9" i="3" s="1"/>
  <c r="BA9" i="3"/>
  <c r="AV9" i="3" s="1"/>
  <c r="BC8" i="3"/>
  <c r="AX8" i="3" s="1"/>
  <c r="BB8" i="3"/>
  <c r="AW8" i="3" s="1"/>
  <c r="BA8" i="3"/>
  <c r="AV8" i="3" s="1"/>
  <c r="BC7" i="3"/>
  <c r="AX7" i="3" s="1"/>
  <c r="BB7" i="3"/>
  <c r="AW7" i="3" s="1"/>
  <c r="BA7" i="3"/>
  <c r="AV7" i="3" s="1"/>
  <c r="BC6" i="3"/>
  <c r="AX6" i="3" s="1"/>
  <c r="BB6" i="3"/>
  <c r="AW6" i="3" s="1"/>
  <c r="BA6" i="3"/>
  <c r="AV6" i="3" s="1"/>
  <c r="BC4" i="3"/>
  <c r="AX4" i="3" s="1"/>
  <c r="BB4" i="3"/>
  <c r="AW4" i="3" s="1"/>
  <c r="BA4" i="3"/>
  <c r="AV4" i="3" s="1"/>
  <c r="AU20" i="1"/>
  <c r="AU21" i="1"/>
  <c r="AS6" i="1"/>
  <c r="AS5" i="1"/>
  <c r="AS4" i="1"/>
  <c r="AS3" i="1"/>
  <c r="AO3" i="1" s="1"/>
  <c r="AU22" i="1"/>
  <c r="AU19" i="1"/>
  <c r="AU18" i="1"/>
  <c r="AS18" i="1"/>
  <c r="AU7" i="1"/>
  <c r="AU6" i="1"/>
  <c r="AU5" i="1"/>
  <c r="AU4" i="1"/>
  <c r="AU3" i="1"/>
  <c r="BY22" i="1"/>
  <c r="AY22" i="1" s="1"/>
  <c r="BY21" i="1"/>
  <c r="AY21" i="1"/>
  <c r="AY20" i="1"/>
  <c r="AY19" i="1"/>
  <c r="AY3" i="1"/>
  <c r="AY4" i="1"/>
  <c r="AY5" i="1"/>
  <c r="AY6" i="1"/>
  <c r="BY7" i="1"/>
  <c r="AY7" i="1" s="1"/>
  <c r="AW6" i="1"/>
  <c r="AW5" i="1"/>
  <c r="AW4" i="1"/>
  <c r="AW3" i="1"/>
  <c r="AY18" i="1"/>
  <c r="AW18" i="1"/>
  <c r="I16" i="16"/>
  <c r="I15" i="16"/>
  <c r="I14" i="16"/>
  <c r="I13" i="16"/>
  <c r="I10" i="16"/>
  <c r="I9" i="16"/>
  <c r="I8" i="16"/>
  <c r="I7" i="16"/>
  <c r="I5" i="16"/>
  <c r="H5" i="16"/>
  <c r="AN11" i="4"/>
  <c r="AN10" i="4"/>
  <c r="AN9" i="4"/>
  <c r="AN8" i="4"/>
  <c r="AN7" i="4"/>
  <c r="AN5" i="4"/>
  <c r="AM10" i="4"/>
  <c r="AM9" i="4"/>
  <c r="AM8" i="4"/>
  <c r="AM7" i="4"/>
  <c r="AM5" i="4"/>
  <c r="AQ11" i="4"/>
  <c r="AQ10" i="4"/>
  <c r="AP10" i="4"/>
  <c r="AQ9" i="4"/>
  <c r="AP9" i="4"/>
  <c r="AQ8" i="4"/>
  <c r="AP8" i="4"/>
  <c r="AQ7" i="4"/>
  <c r="AP7" i="4"/>
  <c r="AQ5" i="4"/>
  <c r="AP5" i="4"/>
  <c r="BR22" i="3"/>
  <c r="BQ22" i="3"/>
  <c r="BP22" i="3"/>
  <c r="BR21" i="3"/>
  <c r="BQ21" i="3"/>
  <c r="BP21" i="3"/>
  <c r="BR20" i="3"/>
  <c r="BQ20" i="3"/>
  <c r="BP20" i="3"/>
  <c r="BR19" i="3"/>
  <c r="BQ19" i="3"/>
  <c r="BP19" i="3"/>
  <c r="BR18" i="3"/>
  <c r="BQ18" i="3"/>
  <c r="BP18" i="3"/>
  <c r="BR16" i="3"/>
  <c r="BQ16" i="3"/>
  <c r="BP16" i="3"/>
  <c r="BN4" i="3"/>
  <c r="BS4" i="3" s="1"/>
  <c r="BN6" i="3"/>
  <c r="BS6" i="3" s="1"/>
  <c r="BN7" i="3"/>
  <c r="BS7" i="3" s="1"/>
  <c r="BN8" i="3"/>
  <c r="BS8" i="3" s="1"/>
  <c r="BN9" i="3"/>
  <c r="BS9" i="3" s="1"/>
  <c r="BR9" i="3"/>
  <c r="BR8" i="3"/>
  <c r="BR7" i="3"/>
  <c r="BR6" i="3"/>
  <c r="BR4" i="3"/>
  <c r="BQ9" i="3"/>
  <c r="BQ8" i="3"/>
  <c r="BQ7" i="3"/>
  <c r="BQ6" i="3"/>
  <c r="BQ4" i="3"/>
  <c r="BP9" i="3"/>
  <c r="BP8" i="3"/>
  <c r="BP7" i="3"/>
  <c r="BP6" i="3"/>
  <c r="BP4" i="3"/>
  <c r="BX16" i="3"/>
  <c r="BS16" i="3" s="1"/>
  <c r="BX18" i="3"/>
  <c r="BS18" i="3" s="1"/>
  <c r="BX19" i="3"/>
  <c r="BS19" i="3" s="1"/>
  <c r="BX20" i="3"/>
  <c r="BS20" i="3" s="1"/>
  <c r="BX21" i="3"/>
  <c r="BS21" i="3" s="1"/>
  <c r="BN22" i="3"/>
  <c r="BM22" i="3"/>
  <c r="BL22" i="3"/>
  <c r="BK22" i="3"/>
  <c r="BN21" i="3"/>
  <c r="BM21" i="3"/>
  <c r="BL21" i="3"/>
  <c r="BK21" i="3"/>
  <c r="BN20" i="3"/>
  <c r="BM20" i="3"/>
  <c r="BL20" i="3"/>
  <c r="BK20" i="3"/>
  <c r="BN19" i="3"/>
  <c r="BM19" i="3"/>
  <c r="BL19" i="3"/>
  <c r="BK19" i="3"/>
  <c r="BN18" i="3"/>
  <c r="BM18" i="3"/>
  <c r="BL18" i="3"/>
  <c r="BK18" i="3"/>
  <c r="BN16" i="3"/>
  <c r="BM16" i="3"/>
  <c r="BL16" i="3"/>
  <c r="BK16" i="3"/>
  <c r="BM9" i="3"/>
  <c r="BM8" i="3"/>
  <c r="BM7" i="3"/>
  <c r="BM6" i="3"/>
  <c r="BM4" i="3"/>
  <c r="BL9" i="3"/>
  <c r="BL8" i="3"/>
  <c r="BL7" i="3"/>
  <c r="BL6" i="3"/>
  <c r="BL4" i="3"/>
  <c r="BK9" i="3"/>
  <c r="BK8" i="3"/>
  <c r="BK7" i="3"/>
  <c r="BK6" i="3"/>
  <c r="BK4" i="3"/>
  <c r="BX22" i="3"/>
  <c r="BW22" i="3"/>
  <c r="BV22" i="3"/>
  <c r="BU22" i="3"/>
  <c r="BW21" i="3"/>
  <c r="BV21" i="3"/>
  <c r="BU21" i="3"/>
  <c r="BW20" i="3"/>
  <c r="BV20" i="3"/>
  <c r="BU20" i="3"/>
  <c r="BW19" i="3"/>
  <c r="BV19" i="3"/>
  <c r="BU19" i="3"/>
  <c r="BW18" i="3"/>
  <c r="BV18" i="3"/>
  <c r="BU18" i="3"/>
  <c r="BW16" i="3"/>
  <c r="BV16" i="3"/>
  <c r="BU16" i="3"/>
  <c r="BX9" i="3"/>
  <c r="BW9" i="3"/>
  <c r="BV9" i="3"/>
  <c r="BU9" i="3"/>
  <c r="BX8" i="3"/>
  <c r="BW8" i="3"/>
  <c r="BV8" i="3"/>
  <c r="BU8" i="3"/>
  <c r="BX7" i="3"/>
  <c r="BW7" i="3"/>
  <c r="BV7" i="3"/>
  <c r="BU7" i="3"/>
  <c r="BX6" i="3"/>
  <c r="BW6" i="3"/>
  <c r="BV6" i="3"/>
  <c r="BU6" i="3"/>
  <c r="BX4" i="3"/>
  <c r="BW4" i="3"/>
  <c r="BV4" i="3"/>
  <c r="BU4" i="3"/>
  <c r="C49" i="19"/>
  <c r="C51" i="19" s="1"/>
  <c r="C58" i="19" s="1"/>
  <c r="C42" i="2"/>
  <c r="C49" i="2"/>
  <c r="S6" i="11"/>
  <c r="O6" i="11" s="1"/>
  <c r="R7" i="11"/>
  <c r="O7" i="11" s="1"/>
  <c r="X6" i="11"/>
  <c r="U6" i="11"/>
  <c r="V6" i="11"/>
  <c r="W6" i="11"/>
  <c r="BC19" i="1"/>
  <c r="BC21" i="1"/>
  <c r="BC22" i="1"/>
  <c r="BG19" i="1"/>
  <c r="CG21" i="1"/>
  <c r="BG21" i="1" s="1"/>
  <c r="CG22" i="1"/>
  <c r="BG22" i="1" s="1"/>
  <c r="BE7" i="1"/>
  <c r="BC7" i="1"/>
  <c r="BG7" i="1" s="1"/>
  <c r="BK6" i="1"/>
  <c r="BC6" i="1"/>
  <c r="BK5" i="1"/>
  <c r="BC5" i="1"/>
  <c r="BK4" i="1"/>
  <c r="BC4" i="1"/>
  <c r="BK3" i="1"/>
  <c r="BC3" i="1"/>
  <c r="BI3" i="1"/>
  <c r="BA3" i="1"/>
  <c r="BI4" i="1"/>
  <c r="BA4" i="1"/>
  <c r="BI5" i="1"/>
  <c r="BA5" i="1"/>
  <c r="BI6" i="1"/>
  <c r="BA6" i="1"/>
  <c r="BG18" i="1"/>
  <c r="BE18" i="1"/>
  <c r="BC18" i="1"/>
  <c r="BA18" i="1"/>
  <c r="L152" i="16"/>
  <c r="E32" i="17"/>
  <c r="E30" i="17"/>
  <c r="E29" i="17"/>
  <c r="E17" i="17"/>
  <c r="E16" i="17"/>
  <c r="E15" i="17"/>
  <c r="E14" i="17"/>
  <c r="E13" i="17"/>
  <c r="E10" i="17"/>
  <c r="E9" i="17"/>
  <c r="E8" i="17"/>
  <c r="E7" i="17"/>
  <c r="E5" i="17"/>
  <c r="K8" i="16"/>
  <c r="G167" i="17"/>
  <c r="O5" i="11"/>
  <c r="O8" i="11"/>
  <c r="O9" i="11"/>
  <c r="O10" i="11"/>
  <c r="O11" i="11"/>
  <c r="O13" i="11"/>
  <c r="BK19" i="1"/>
  <c r="CK20" i="1"/>
  <c r="BK20" i="1" s="1"/>
  <c r="BK21" i="1"/>
  <c r="BK22" i="1"/>
  <c r="BK7" i="1"/>
  <c r="C13" i="19"/>
  <c r="C3" i="2"/>
  <c r="C7" i="2"/>
  <c r="C10" i="2"/>
  <c r="C15" i="2"/>
  <c r="C23" i="2"/>
  <c r="C20" i="2" s="1"/>
  <c r="C30" i="2"/>
  <c r="C35" i="2" s="1"/>
  <c r="D20" i="19"/>
  <c r="D24" i="19" s="1"/>
  <c r="D30" i="19"/>
  <c r="D35" i="19" s="1"/>
  <c r="D58" i="19" s="1"/>
  <c r="C3" i="19"/>
  <c r="C7" i="19"/>
  <c r="C10" i="19"/>
  <c r="C15" i="19"/>
  <c r="C23" i="19"/>
  <c r="C20" i="19" s="1"/>
  <c r="C30" i="19"/>
  <c r="C35" i="19" s="1"/>
  <c r="D20" i="2"/>
  <c r="D24" i="2" s="1"/>
  <c r="D30" i="2"/>
  <c r="AS11" i="4"/>
  <c r="AT11" i="4"/>
  <c r="AS10" i="4"/>
  <c r="AT10" i="4"/>
  <c r="AS5" i="4"/>
  <c r="AT5" i="4"/>
  <c r="AS7" i="4"/>
  <c r="AT7" i="4"/>
  <c r="AS8" i="4"/>
  <c r="AT8" i="4"/>
  <c r="AS9" i="4"/>
  <c r="AT9" i="4"/>
  <c r="BZ22" i="3"/>
  <c r="CA22" i="3"/>
  <c r="CB22" i="3"/>
  <c r="CC16" i="3"/>
  <c r="CC18" i="3"/>
  <c r="CC19" i="3"/>
  <c r="CC20" i="3"/>
  <c r="CC21" i="3"/>
  <c r="CC22" i="3"/>
  <c r="BZ16" i="3"/>
  <c r="CA16" i="3"/>
  <c r="CB16" i="3"/>
  <c r="BZ18" i="3"/>
  <c r="CA18" i="3"/>
  <c r="CB18" i="3"/>
  <c r="BZ19" i="3"/>
  <c r="CA19" i="3"/>
  <c r="CB19" i="3"/>
  <c r="BZ20" i="3"/>
  <c r="CA20" i="3"/>
  <c r="CB20" i="3"/>
  <c r="BZ21" i="3"/>
  <c r="CA21" i="3"/>
  <c r="CB21" i="3"/>
  <c r="BZ10" i="3"/>
  <c r="CA10" i="3"/>
  <c r="CB10" i="3"/>
  <c r="CC4" i="3"/>
  <c r="CC6" i="3"/>
  <c r="CC7" i="3"/>
  <c r="CC8" i="3"/>
  <c r="CC9" i="3"/>
  <c r="CC10" i="3"/>
  <c r="BZ4" i="3"/>
  <c r="CA4" i="3"/>
  <c r="CB4" i="3"/>
  <c r="BZ6" i="3"/>
  <c r="CA6" i="3"/>
  <c r="CB6" i="3"/>
  <c r="BZ7" i="3"/>
  <c r="CA7" i="3"/>
  <c r="CB7" i="3"/>
  <c r="BZ8" i="3"/>
  <c r="CA8" i="3"/>
  <c r="CB8" i="3"/>
  <c r="BZ9" i="3"/>
  <c r="CA9" i="3"/>
  <c r="CB9" i="3"/>
  <c r="CH14" i="3"/>
  <c r="CH2" i="3"/>
  <c r="T12" i="11"/>
  <c r="T7" i="11"/>
  <c r="BQ19" i="1"/>
  <c r="AQ19" i="1" s="1"/>
  <c r="BQ21" i="1"/>
  <c r="AQ21" i="1" s="1"/>
  <c r="BM20" i="1"/>
  <c r="AM20" i="1" s="1"/>
  <c r="BQ22" i="1"/>
  <c r="AQ22" i="1" s="1"/>
  <c r="BS19" i="1"/>
  <c r="BS21" i="1"/>
  <c r="BS22" i="1"/>
  <c r="BO19" i="1"/>
  <c r="BO21" i="1"/>
  <c r="BO22" i="1"/>
  <c r="BQ7" i="1"/>
  <c r="AQ7" i="1" s="1"/>
  <c r="BO7" i="1"/>
  <c r="BS7" i="1" s="1"/>
  <c r="BS6" i="1"/>
  <c r="BS5" i="1"/>
  <c r="BS4" i="1"/>
  <c r="BS3" i="1"/>
  <c r="BQ3" i="1"/>
  <c r="AQ3" i="1" s="1"/>
  <c r="BQ4" i="1"/>
  <c r="AQ4" i="1" s="1"/>
  <c r="BQ5" i="1"/>
  <c r="AQ5" i="1" s="1"/>
  <c r="BQ6" i="1"/>
  <c r="AQ6" i="1" s="1"/>
  <c r="I169" i="16"/>
  <c r="I136" i="16"/>
  <c r="I138" i="16" s="1"/>
  <c r="I165" i="16" s="1"/>
  <c r="I168" i="16"/>
  <c r="J167" i="16" s="1"/>
  <c r="I167" i="16"/>
  <c r="H136" i="16"/>
  <c r="H169" i="16"/>
  <c r="H168" i="16"/>
  <c r="H167" i="16"/>
  <c r="G136" i="16"/>
  <c r="G138" i="16" s="1"/>
  <c r="G165" i="16" s="1"/>
  <c r="G169" i="16"/>
  <c r="G168" i="16"/>
  <c r="G167" i="16"/>
  <c r="F167" i="16"/>
  <c r="E136" i="16"/>
  <c r="D169" i="16"/>
  <c r="E169" i="16"/>
  <c r="E168" i="16"/>
  <c r="E167" i="16"/>
  <c r="D136" i="16"/>
  <c r="D138" i="16" s="1"/>
  <c r="D165" i="16" s="1"/>
  <c r="D168" i="16"/>
  <c r="D167" i="16"/>
  <c r="C169" i="16"/>
  <c r="C136" i="16"/>
  <c r="C138" i="16" s="1"/>
  <c r="C165" i="16" s="1"/>
  <c r="C168" i="16"/>
  <c r="C167" i="16"/>
  <c r="H138" i="16"/>
  <c r="H165" i="16" s="1"/>
  <c r="F167" i="17"/>
  <c r="E169" i="17"/>
  <c r="C169" i="17"/>
  <c r="E136" i="17"/>
  <c r="E138" i="17"/>
  <c r="E165" i="17" s="1"/>
  <c r="E168" i="17"/>
  <c r="C136" i="17"/>
  <c r="C138" i="17"/>
  <c r="C165" i="17" s="1"/>
  <c r="C168" i="17"/>
  <c r="C167" i="17"/>
  <c r="E167" i="17"/>
  <c r="F138" i="16"/>
  <c r="F165" i="16" s="1"/>
  <c r="J165" i="16"/>
  <c r="D148" i="18"/>
  <c r="E148" i="18"/>
  <c r="F138" i="17"/>
  <c r="F165" i="17" s="1"/>
  <c r="CM15" i="3"/>
  <c r="CM16" i="3"/>
  <c r="CM18" i="3"/>
  <c r="CM19" i="3"/>
  <c r="CM20" i="3"/>
  <c r="CM21" i="3"/>
  <c r="CM3" i="3"/>
  <c r="CM4" i="3"/>
  <c r="CM6" i="3"/>
  <c r="CM7" i="3"/>
  <c r="CM8" i="3"/>
  <c r="CM9" i="3"/>
  <c r="CR14" i="3"/>
  <c r="CR2" i="3"/>
  <c r="BW7" i="1"/>
  <c r="CA7" i="1" s="1"/>
  <c r="E157" i="16"/>
  <c r="E155" i="16"/>
  <c r="E150" i="16"/>
  <c r="E145" i="16"/>
  <c r="E140" i="16"/>
  <c r="E135" i="16"/>
  <c r="E132" i="16"/>
  <c r="E129" i="16"/>
  <c r="E27" i="16"/>
  <c r="E26" i="16"/>
  <c r="E15" i="16"/>
  <c r="E14" i="16"/>
  <c r="E11" i="16"/>
  <c r="E10" i="16"/>
  <c r="E9" i="16"/>
  <c r="E7" i="16"/>
  <c r="E5" i="16"/>
  <c r="C18" i="19"/>
  <c r="BI12" i="4"/>
  <c r="T19" i="11"/>
  <c r="T18" i="11"/>
  <c r="T17" i="11"/>
  <c r="T5" i="11"/>
  <c r="T8" i="11"/>
  <c r="T9" i="11"/>
  <c r="T10" i="11"/>
  <c r="T11" i="11"/>
  <c r="T13" i="11"/>
  <c r="CE7" i="1"/>
  <c r="E157" i="17"/>
  <c r="BH12" i="4"/>
  <c r="BF10" i="4"/>
  <c r="BF9" i="4"/>
  <c r="BF8" i="4"/>
  <c r="BF7" i="4"/>
  <c r="BF5" i="4"/>
  <c r="BE10" i="4"/>
  <c r="BE9" i="4"/>
  <c r="BE8" i="4"/>
  <c r="BE7" i="4"/>
  <c r="BE5" i="4"/>
  <c r="BE4" i="4"/>
  <c r="CV21" i="3"/>
  <c r="CV20" i="3"/>
  <c r="CV19" i="3"/>
  <c r="CV18" i="3"/>
  <c r="CV16" i="3"/>
  <c r="CV15" i="3"/>
  <c r="CU21" i="3"/>
  <c r="CU20" i="3"/>
  <c r="CU19" i="3"/>
  <c r="CU18" i="3"/>
  <c r="CU16" i="3"/>
  <c r="CU15" i="3"/>
  <c r="CT21" i="3"/>
  <c r="CT20" i="3"/>
  <c r="CT19" i="3"/>
  <c r="CT18" i="3"/>
  <c r="CT16" i="3"/>
  <c r="CT15" i="3"/>
  <c r="X16" i="11"/>
  <c r="CM19" i="1"/>
  <c r="CM20" i="1"/>
  <c r="CI20" i="1" s="1"/>
  <c r="CM21" i="1"/>
  <c r="CI21" i="1" s="1"/>
  <c r="CM22" i="1"/>
  <c r="CI22" i="1" s="1"/>
  <c r="CM7" i="1"/>
  <c r="CI6" i="1"/>
  <c r="CI5" i="1"/>
  <c r="CI4" i="1"/>
  <c r="CI3" i="1"/>
  <c r="BL12" i="4"/>
  <c r="BF4" i="4"/>
  <c r="BK12" i="4"/>
  <c r="CT9" i="3"/>
  <c r="CT3" i="3"/>
  <c r="CT6" i="3"/>
  <c r="CT7" i="3"/>
  <c r="CV7" i="3"/>
  <c r="CG6" i="1"/>
  <c r="CU7" i="3"/>
  <c r="CT8" i="3"/>
  <c r="CV6" i="3"/>
  <c r="CV3" i="3"/>
  <c r="CT4" i="3"/>
  <c r="CV9" i="3"/>
  <c r="CU9" i="3"/>
  <c r="CV8" i="3"/>
  <c r="CV4" i="3"/>
  <c r="CU6" i="3"/>
  <c r="CG3" i="1"/>
  <c r="CU3" i="3"/>
  <c r="CU4" i="3"/>
  <c r="CU8" i="3"/>
  <c r="CG5" i="1"/>
  <c r="CG4" i="1"/>
  <c r="Z6" i="11"/>
  <c r="DL21" i="3"/>
  <c r="DL20" i="3"/>
  <c r="DL19" i="3"/>
  <c r="DL18" i="3"/>
  <c r="DL16" i="3"/>
  <c r="DL15" i="3"/>
  <c r="DL9" i="3"/>
  <c r="DL8" i="3"/>
  <c r="DL7" i="3"/>
  <c r="DL6" i="3"/>
  <c r="DL4" i="3"/>
  <c r="DL3" i="3"/>
  <c r="DQ2" i="3"/>
  <c r="CQ19" i="1"/>
  <c r="CU19" i="1" s="1"/>
  <c r="CQ21" i="1"/>
  <c r="CU21" i="1" s="1"/>
  <c r="CQ22" i="1"/>
  <c r="CU22" i="1" s="1"/>
  <c r="CO20" i="1"/>
  <c r="CS20" i="1" s="1"/>
  <c r="BR12" i="4"/>
  <c r="BQ12" i="4"/>
  <c r="CQ18" i="1"/>
  <c r="CO18" i="1"/>
  <c r="CS22" i="1"/>
  <c r="CS21" i="1"/>
  <c r="CS19" i="1"/>
  <c r="CS7" i="1"/>
  <c r="CQ7" i="1"/>
  <c r="CU7" i="1" s="1"/>
  <c r="BO9" i="4"/>
  <c r="BO8" i="4"/>
  <c r="BO7" i="4"/>
  <c r="BO5" i="4"/>
  <c r="BO4" i="4"/>
  <c r="BN10" i="4"/>
  <c r="BN9" i="4"/>
  <c r="BN7" i="4"/>
  <c r="BN5" i="4"/>
  <c r="BN4" i="4"/>
  <c r="DV21" i="3"/>
  <c r="DV20" i="3"/>
  <c r="DV19" i="3"/>
  <c r="DV18" i="3"/>
  <c r="DV15" i="3"/>
  <c r="DK21" i="3"/>
  <c r="DK20" i="3"/>
  <c r="DK19" i="3"/>
  <c r="DK18" i="3"/>
  <c r="DK16" i="3"/>
  <c r="DK15" i="3"/>
  <c r="DJ21" i="3"/>
  <c r="DJ20" i="3"/>
  <c r="DJ19" i="3"/>
  <c r="DJ18" i="3"/>
  <c r="DJ16" i="3"/>
  <c r="DJ15" i="3"/>
  <c r="DI21" i="3"/>
  <c r="DI20" i="3"/>
  <c r="DI19" i="3"/>
  <c r="DI18" i="3"/>
  <c r="DI16" i="3"/>
  <c r="DI15" i="3"/>
  <c r="DV9" i="3"/>
  <c r="DV8" i="3"/>
  <c r="DV7" i="3"/>
  <c r="DV6" i="3"/>
  <c r="DV4" i="3"/>
  <c r="DV3" i="3"/>
  <c r="DK9" i="3"/>
  <c r="DK8" i="3"/>
  <c r="DK7" i="3"/>
  <c r="DK6" i="3"/>
  <c r="DK4" i="3"/>
  <c r="DK3" i="3"/>
  <c r="DJ9" i="3"/>
  <c r="DJ8" i="3"/>
  <c r="DJ7" i="3"/>
  <c r="DJ6" i="3"/>
  <c r="DJ4" i="3"/>
  <c r="DJ3" i="3"/>
  <c r="DI9" i="3"/>
  <c r="DI8" i="3"/>
  <c r="DI7" i="3"/>
  <c r="DI6" i="3"/>
  <c r="DI4" i="3"/>
  <c r="DI3" i="3"/>
  <c r="EA2" i="3"/>
  <c r="AB18" i="11"/>
  <c r="AA18" i="11" s="1"/>
  <c r="Y18" i="11" s="1"/>
  <c r="AC6" i="11"/>
  <c r="AB6" i="11"/>
  <c r="AA10" i="11"/>
  <c r="Y10" i="11" s="1"/>
  <c r="AA9" i="11"/>
  <c r="Y9" i="11" s="1"/>
  <c r="CU6" i="1"/>
  <c r="CU5" i="1"/>
  <c r="CU4" i="1"/>
  <c r="CS6" i="1"/>
  <c r="CS4" i="1"/>
  <c r="CS3" i="1"/>
  <c r="CY7" i="1"/>
  <c r="DC7" i="1" s="1"/>
  <c r="DC22" i="1"/>
  <c r="DA22" i="1"/>
  <c r="CA22" i="1" s="1"/>
  <c r="DC21" i="1"/>
  <c r="DA21" i="1"/>
  <c r="CA21" i="1" s="1"/>
  <c r="DC20" i="1"/>
  <c r="DA20" i="1"/>
  <c r="CA20" i="1" s="1"/>
  <c r="DC19" i="1"/>
  <c r="DA19" i="1"/>
  <c r="CA19" i="1" s="1"/>
  <c r="DA7" i="1"/>
  <c r="DA6" i="1"/>
  <c r="BU7" i="4"/>
  <c r="BU5" i="4"/>
  <c r="BZ10" i="4"/>
  <c r="BZ7" i="4"/>
  <c r="ED6" i="3"/>
  <c r="EC7" i="3"/>
  <c r="ED7" i="3"/>
  <c r="EF21" i="3"/>
  <c r="EF20" i="3"/>
  <c r="EF19" i="3"/>
  <c r="EF18" i="3"/>
  <c r="EF16" i="3"/>
  <c r="EF15" i="3"/>
  <c r="EE20" i="3"/>
  <c r="ED21" i="3"/>
  <c r="ED20" i="3"/>
  <c r="ED19" i="3"/>
  <c r="ED18" i="3"/>
  <c r="ED16" i="3"/>
  <c r="EC20" i="3"/>
  <c r="DS16" i="3"/>
  <c r="EF9" i="3"/>
  <c r="EF8" i="3"/>
  <c r="EF7" i="3"/>
  <c r="EF6" i="3"/>
  <c r="EF4" i="3"/>
  <c r="EF3" i="3"/>
  <c r="EE4" i="3"/>
  <c r="EE3" i="3"/>
  <c r="ED8" i="3"/>
  <c r="DS9" i="3"/>
  <c r="EK2" i="3"/>
  <c r="AB17" i="11"/>
  <c r="Y17" i="11" s="1"/>
  <c r="AB13" i="11"/>
  <c r="Y13" i="11" s="1"/>
  <c r="AB11" i="11"/>
  <c r="Y11" i="11" s="1"/>
  <c r="AB8" i="11"/>
  <c r="AA8" i="11" s="1"/>
  <c r="Y8" i="11" s="1"/>
  <c r="AB7" i="11"/>
  <c r="AA7" i="11" s="1"/>
  <c r="Y7" i="11" s="1"/>
  <c r="DO19" i="1"/>
  <c r="DK19" i="1" s="1"/>
  <c r="DO20" i="1"/>
  <c r="DK20" i="1" s="1"/>
  <c r="DO21" i="1"/>
  <c r="DK21" i="1" s="1"/>
  <c r="DO22" i="1"/>
  <c r="DK22" i="1" s="1"/>
  <c r="DI19" i="1"/>
  <c r="DI20" i="1"/>
  <c r="DI21" i="1"/>
  <c r="DI22" i="1"/>
  <c r="DK7" i="1"/>
  <c r="DI7" i="1"/>
  <c r="CI7" i="1" s="1"/>
  <c r="DO6" i="1"/>
  <c r="DK6" i="1" s="1"/>
  <c r="DO5" i="1"/>
  <c r="DK5" i="1" s="1"/>
  <c r="DO4" i="1"/>
  <c r="DK4" i="1" s="1"/>
  <c r="DO3" i="1"/>
  <c r="DK3" i="1" s="1"/>
  <c r="DI3" i="1"/>
  <c r="Y5" i="11"/>
  <c r="Y12" i="11"/>
  <c r="Y16" i="11"/>
  <c r="Z16" i="11"/>
  <c r="AA16" i="11"/>
  <c r="AB16" i="11"/>
  <c r="AC16" i="11"/>
  <c r="DO18" i="1"/>
  <c r="DM18" i="1"/>
  <c r="DO7" i="1"/>
  <c r="EU6" i="3"/>
  <c r="EU22" i="3"/>
  <c r="EU20" i="3"/>
  <c r="EU15" i="3"/>
  <c r="EU21" i="3"/>
  <c r="EU19" i="3"/>
  <c r="EU18" i="3"/>
  <c r="EU16" i="3"/>
  <c r="EU10" i="3"/>
  <c r="EU9" i="3"/>
  <c r="EU8" i="3"/>
  <c r="EU7" i="3"/>
  <c r="EU4" i="3"/>
  <c r="EU3" i="3"/>
  <c r="ER10" i="3"/>
  <c r="EZ2" i="3"/>
  <c r="AE17" i="11"/>
  <c r="AE5" i="11"/>
  <c r="AE7" i="11"/>
  <c r="AE8" i="11"/>
  <c r="AE10" i="11"/>
  <c r="AE11" i="11"/>
  <c r="AE12" i="11"/>
  <c r="AE13" i="11"/>
  <c r="AD6" i="11"/>
  <c r="AE6" i="11" s="1"/>
  <c r="DQ20" i="1"/>
  <c r="CQ20" i="1" s="1"/>
  <c r="CU20" i="1" s="1"/>
  <c r="DU22" i="1"/>
  <c r="DS22" i="1"/>
  <c r="EA22" i="1"/>
  <c r="EE22" i="1" s="1"/>
  <c r="DU21" i="1"/>
  <c r="DS21" i="1"/>
  <c r="EA21" i="1"/>
  <c r="EE21" i="1" s="1"/>
  <c r="DS20" i="1"/>
  <c r="DU19" i="1"/>
  <c r="DS19" i="1"/>
  <c r="EA19" i="1"/>
  <c r="EE19" i="1" s="1"/>
  <c r="DS18" i="1"/>
  <c r="DQ18" i="1"/>
  <c r="DU7" i="1"/>
  <c r="DS7" i="1"/>
  <c r="DW7" i="1" s="1"/>
  <c r="CI9" i="4"/>
  <c r="CP5" i="4"/>
  <c r="CV8" i="4"/>
  <c r="CP9" i="4"/>
  <c r="CU4" i="4"/>
  <c r="CO7" i="4"/>
  <c r="CU9" i="4"/>
  <c r="CO11" i="4"/>
  <c r="FE22" i="3"/>
  <c r="FE21" i="3"/>
  <c r="FE20" i="3"/>
  <c r="FE19" i="3"/>
  <c r="FE18" i="3"/>
  <c r="FE16" i="3"/>
  <c r="FE15" i="3"/>
  <c r="FE10" i="3"/>
  <c r="FE9" i="3"/>
  <c r="FE8" i="3"/>
  <c r="FE7" i="3"/>
  <c r="FE6" i="3"/>
  <c r="ET6" i="3"/>
  <c r="FE4" i="3"/>
  <c r="FE3" i="3"/>
  <c r="FJ2" i="3"/>
  <c r="AF18" i="11"/>
  <c r="AF19" i="11" s="1"/>
  <c r="AF16" i="11"/>
  <c r="AF9" i="11"/>
  <c r="AE9" i="11" s="1"/>
  <c r="EC22" i="1"/>
  <c r="EC21" i="1"/>
  <c r="EA20" i="1"/>
  <c r="EE20" i="1" s="1"/>
  <c r="EG20" i="1"/>
  <c r="EC20" i="1" s="1"/>
  <c r="EC19" i="1"/>
  <c r="EA18" i="1"/>
  <c r="DY18" i="1"/>
  <c r="EA7" i="1"/>
  <c r="EE7" i="1" s="1"/>
  <c r="EC7" i="1"/>
  <c r="FL15" i="3"/>
  <c r="FM15" i="3"/>
  <c r="FN15" i="3"/>
  <c r="FL18" i="3"/>
  <c r="FM18" i="3"/>
  <c r="FN18" i="3"/>
  <c r="FL19" i="3"/>
  <c r="FM19" i="3"/>
  <c r="FN19" i="3"/>
  <c r="FL20" i="3"/>
  <c r="FM20" i="3"/>
  <c r="FN20" i="3"/>
  <c r="FL21" i="3"/>
  <c r="FM21" i="3"/>
  <c r="FN21" i="3"/>
  <c r="FL3" i="3"/>
  <c r="FM3" i="3"/>
  <c r="FN3" i="3"/>
  <c r="FL6" i="3"/>
  <c r="FM6" i="3"/>
  <c r="FN6" i="3"/>
  <c r="FL7" i="3"/>
  <c r="FM7" i="3"/>
  <c r="FN7" i="3"/>
  <c r="FL8" i="3"/>
  <c r="FM8" i="3"/>
  <c r="FN8" i="3"/>
  <c r="FL9" i="3"/>
  <c r="FM9" i="3"/>
  <c r="FN9" i="3"/>
  <c r="AG18" i="11"/>
  <c r="AG19" i="11" s="1"/>
  <c r="EM22" i="1"/>
  <c r="EM21" i="1"/>
  <c r="EM20" i="1"/>
  <c r="EM19" i="1"/>
  <c r="EK19" i="1"/>
  <c r="EK21" i="1"/>
  <c r="EK22" i="1"/>
  <c r="EM7" i="1"/>
  <c r="EK7" i="1"/>
  <c r="DH12" i="4"/>
  <c r="DG12" i="4"/>
  <c r="DE12" i="4"/>
  <c r="DD12" i="4"/>
  <c r="DN12" i="4"/>
  <c r="DM12" i="4"/>
  <c r="DK12" i="4"/>
  <c r="DJ12" i="4"/>
  <c r="DQ12" i="4"/>
  <c r="DR12" i="4"/>
  <c r="DT12" i="4"/>
  <c r="DU12" i="4"/>
  <c r="DX12" i="4"/>
  <c r="DW12" i="4"/>
  <c r="EC4" i="4"/>
  <c r="EC5" i="4"/>
  <c r="EC8" i="4"/>
  <c r="EC9" i="4"/>
  <c r="EC10" i="4"/>
  <c r="ED5" i="4"/>
  <c r="ED8" i="4"/>
  <c r="ED9" i="4"/>
  <c r="ED10" i="4"/>
  <c r="HN26" i="4"/>
  <c r="HM26" i="4"/>
  <c r="HK26" i="4"/>
  <c r="HJ26" i="4"/>
  <c r="HH26" i="4"/>
  <c r="HG26" i="4"/>
  <c r="HQ15" i="4"/>
  <c r="HP15" i="4"/>
  <c r="HN15" i="4"/>
  <c r="HM15" i="4"/>
  <c r="HK15" i="4"/>
  <c r="HJ15" i="4"/>
  <c r="HH15" i="4"/>
  <c r="HG15" i="4"/>
  <c r="HD12" i="4"/>
  <c r="HC12" i="4"/>
  <c r="HA12" i="4"/>
  <c r="GZ12" i="4"/>
  <c r="GX12" i="4"/>
  <c r="GW12" i="4"/>
  <c r="GU12" i="4"/>
  <c r="GT12" i="4"/>
  <c r="GR12" i="4"/>
  <c r="GQ12" i="4"/>
  <c r="GO12" i="4"/>
  <c r="GN12" i="4"/>
  <c r="GL12" i="4"/>
  <c r="GK12" i="4"/>
  <c r="GI12" i="4"/>
  <c r="GH12" i="4"/>
  <c r="GF12" i="4"/>
  <c r="GE12" i="4"/>
  <c r="GC12" i="4"/>
  <c r="GB12" i="4"/>
  <c r="FZ12" i="4"/>
  <c r="FY12" i="4"/>
  <c r="FW12" i="4"/>
  <c r="FV12" i="4"/>
  <c r="FT12" i="4"/>
  <c r="FS12" i="4"/>
  <c r="FQ12" i="4"/>
  <c r="FP12" i="4"/>
  <c r="FN12" i="4"/>
  <c r="FM12" i="4"/>
  <c r="FK12" i="4"/>
  <c r="FJ12" i="4"/>
  <c r="FH12" i="4"/>
  <c r="FG12" i="4"/>
  <c r="FE12" i="4"/>
  <c r="FD12" i="4"/>
  <c r="FB12" i="4"/>
  <c r="FA12" i="4"/>
  <c r="EY12" i="4"/>
  <c r="EX12" i="4"/>
  <c r="EV12" i="4"/>
  <c r="EU12" i="4"/>
  <c r="ES12" i="4"/>
  <c r="ER12" i="4"/>
  <c r="EP12" i="4"/>
  <c r="EO12" i="4"/>
  <c r="EM12" i="4"/>
  <c r="EL12" i="4"/>
  <c r="EJ12" i="4"/>
  <c r="EI12" i="4"/>
  <c r="EG12" i="4"/>
  <c r="EF12" i="4"/>
  <c r="JV21" i="3"/>
  <c r="JU21" i="3"/>
  <c r="JT21" i="3"/>
  <c r="JS21" i="3"/>
  <c r="JV20" i="3"/>
  <c r="JU20" i="3"/>
  <c r="JT20" i="3"/>
  <c r="JS20" i="3"/>
  <c r="JV19" i="3"/>
  <c r="JU19" i="3"/>
  <c r="JT19" i="3"/>
  <c r="JS19" i="3"/>
  <c r="JV16" i="3"/>
  <c r="JU16" i="3"/>
  <c r="JT16" i="3"/>
  <c r="JS16" i="3"/>
  <c r="JV15" i="3"/>
  <c r="JU15" i="3"/>
  <c r="JT15" i="3"/>
  <c r="JS15" i="3"/>
  <c r="JV9" i="3"/>
  <c r="JU9" i="3"/>
  <c r="JT9" i="3"/>
  <c r="JS9" i="3"/>
  <c r="JV8" i="3"/>
  <c r="JU8" i="3"/>
  <c r="JT8" i="3"/>
  <c r="JS8" i="3"/>
  <c r="JV7" i="3"/>
  <c r="JU7" i="3"/>
  <c r="JT7" i="3"/>
  <c r="JS7" i="3"/>
  <c r="JV4" i="3"/>
  <c r="JU4" i="3"/>
  <c r="JT4" i="3"/>
  <c r="JS4" i="3"/>
  <c r="JV3" i="3"/>
  <c r="JU3" i="3"/>
  <c r="JT3" i="3"/>
  <c r="JS3" i="3"/>
  <c r="C18" i="2"/>
  <c r="AX17" i="11"/>
  <c r="AS17" i="11"/>
  <c r="AX7" i="11"/>
  <c r="AW7" i="11"/>
  <c r="AS7" i="11"/>
  <c r="HP22" i="1"/>
  <c r="HH22" i="1" s="1"/>
  <c r="HF22" i="1"/>
  <c r="HP21" i="1"/>
  <c r="HH21" i="1" s="1"/>
  <c r="HF21" i="1"/>
  <c r="HP20" i="1"/>
  <c r="HH20" i="1" s="1"/>
  <c r="HF20" i="1"/>
  <c r="HR19" i="1"/>
  <c r="HP19" i="1"/>
  <c r="HH19" i="1" s="1"/>
  <c r="HF19" i="1"/>
  <c r="HP7" i="1"/>
  <c r="HT7" i="1"/>
  <c r="HR7" i="1"/>
  <c r="HH7" i="1"/>
  <c r="HF7" i="1"/>
  <c r="HT6" i="1"/>
  <c r="HR6" i="1"/>
  <c r="HH6" i="1"/>
  <c r="HF6" i="1"/>
  <c r="HT5" i="1"/>
  <c r="HR5" i="1"/>
  <c r="HH5" i="1"/>
  <c r="HF5" i="1"/>
  <c r="HT4" i="1"/>
  <c r="HR4" i="1"/>
  <c r="HH4" i="1"/>
  <c r="HF4" i="1"/>
  <c r="HT3" i="1"/>
  <c r="HR3" i="1"/>
  <c r="HH3" i="1"/>
  <c r="HF3" i="1"/>
  <c r="ED4" i="4"/>
  <c r="DU6" i="3"/>
  <c r="EC21" i="3"/>
  <c r="CV10" i="4"/>
  <c r="CA8" i="4"/>
  <c r="ER9" i="3"/>
  <c r="EE7" i="3"/>
  <c r="CI7" i="4"/>
  <c r="DV16" i="3"/>
  <c r="CI11" i="4"/>
  <c r="FM10" i="3"/>
  <c r="FM4" i="3"/>
  <c r="ET21" i="3"/>
  <c r="ES20" i="3"/>
  <c r="DT4" i="3"/>
  <c r="ES7" i="3"/>
  <c r="ET10" i="3"/>
  <c r="DW4" i="1"/>
  <c r="CV5" i="4"/>
  <c r="CV9" i="4"/>
  <c r="CP8" i="4"/>
  <c r="ET4" i="3"/>
  <c r="DC5" i="1"/>
  <c r="BZ5" i="4"/>
  <c r="CO9" i="4"/>
  <c r="ER20" i="3"/>
  <c r="CJ10" i="4"/>
  <c r="ED4" i="3"/>
  <c r="FM16" i="3"/>
  <c r="CU11" i="4"/>
  <c r="CU7" i="4"/>
  <c r="CA10" i="4"/>
  <c r="CA4" i="4"/>
  <c r="CA5" i="4"/>
  <c r="CA7" i="4"/>
  <c r="CA9" i="4"/>
  <c r="CU10" i="4"/>
  <c r="CG12" i="4"/>
  <c r="CJ8" i="4"/>
  <c r="CJ5" i="4"/>
  <c r="CJ7" i="4"/>
  <c r="CP11" i="4"/>
  <c r="ET22" i="3"/>
  <c r="EE15" i="3"/>
  <c r="DT19" i="3"/>
  <c r="EE6" i="3"/>
  <c r="EE9" i="3"/>
  <c r="EC16" i="3"/>
  <c r="ED9" i="3"/>
  <c r="ES21" i="3"/>
  <c r="EC18" i="3"/>
  <c r="EE21" i="3"/>
  <c r="FL22" i="3"/>
  <c r="ED3" i="3"/>
  <c r="ER15" i="3"/>
  <c r="ET15" i="3"/>
  <c r="ER16" i="3"/>
  <c r="DS8" i="3"/>
  <c r="EE19" i="3"/>
  <c r="DT8" i="3"/>
  <c r="ER22" i="3"/>
  <c r="ET3" i="3"/>
  <c r="DU21" i="3"/>
  <c r="EE3" i="1"/>
  <c r="DW6" i="1"/>
  <c r="DU4" i="1"/>
  <c r="EC6" i="1"/>
  <c r="CO4" i="4"/>
  <c r="CU8" i="4"/>
  <c r="CI5" i="4"/>
  <c r="CP10" i="4"/>
  <c r="CO5" i="4"/>
  <c r="CO8" i="4"/>
  <c r="CS12" i="4"/>
  <c r="ES8" i="3"/>
  <c r="ES10" i="3"/>
  <c r="ES9" i="3"/>
  <c r="DS3" i="3"/>
  <c r="EC19" i="3"/>
  <c r="ET9" i="3"/>
  <c r="FM22" i="3"/>
  <c r="ES16" i="3"/>
  <c r="ET20" i="3"/>
  <c r="ES19" i="3"/>
  <c r="FN22" i="3"/>
  <c r="BU4" i="4"/>
  <c r="ES15" i="3"/>
  <c r="DS21" i="3"/>
  <c r="EC9" i="3"/>
  <c r="ET8" i="3"/>
  <c r="EE6" i="1"/>
  <c r="DU3" i="1"/>
  <c r="FL10" i="3"/>
  <c r="FN16" i="3"/>
  <c r="DW3" i="1"/>
  <c r="ET7" i="3"/>
  <c r="ES18" i="3"/>
  <c r="ES22" i="3"/>
  <c r="EC4" i="3"/>
  <c r="DS15" i="3"/>
  <c r="EC15" i="3"/>
  <c r="DI4" i="1"/>
  <c r="FL16" i="3"/>
  <c r="EC5" i="1"/>
  <c r="ER8" i="3"/>
  <c r="DW5" i="1"/>
  <c r="CI10" i="4"/>
  <c r="CJ11" i="4"/>
  <c r="EC6" i="3"/>
  <c r="BZ4" i="4"/>
  <c r="BZ9" i="4"/>
  <c r="DA3" i="1"/>
  <c r="EC8" i="3"/>
  <c r="FN4" i="3"/>
  <c r="FL4" i="3"/>
  <c r="EE4" i="1"/>
  <c r="CV7" i="4"/>
  <c r="DU6" i="1"/>
  <c r="ET16" i="3"/>
  <c r="ET18" i="3"/>
  <c r="ER6" i="3"/>
  <c r="EE16" i="3"/>
  <c r="BT5" i="4"/>
  <c r="BU8" i="4"/>
  <c r="CF12" i="4"/>
  <c r="DI6" i="1"/>
  <c r="BU9" i="4"/>
  <c r="CR12" i="4"/>
  <c r="CU5" i="4"/>
  <c r="CO10" i="4"/>
  <c r="CV4" i="4"/>
  <c r="BZ8" i="4"/>
  <c r="BT8" i="4"/>
  <c r="BN8" i="4"/>
  <c r="BX12" i="4"/>
  <c r="BO10" i="4"/>
  <c r="CP7" i="4"/>
  <c r="CX12" i="4"/>
  <c r="CI8" i="4"/>
  <c r="CJ9" i="4"/>
  <c r="DS19" i="3"/>
  <c r="DU4" i="3"/>
  <c r="ER7" i="3"/>
  <c r="DT7" i="3"/>
  <c r="DT9" i="3"/>
  <c r="FN10" i="3"/>
  <c r="ER3" i="3"/>
  <c r="ER19" i="3"/>
  <c r="DS20" i="3"/>
  <c r="ER18" i="3"/>
  <c r="ER4" i="3"/>
  <c r="EE8" i="3"/>
  <c r="ED15" i="3"/>
  <c r="EE18" i="3"/>
  <c r="DS6" i="3"/>
  <c r="DS18" i="3"/>
  <c r="ER21" i="3"/>
  <c r="ES3" i="3"/>
  <c r="ES4" i="3"/>
  <c r="DT6" i="3"/>
  <c r="DU3" i="3"/>
  <c r="BT9" i="4"/>
  <c r="DI5" i="1"/>
  <c r="BU10" i="4"/>
  <c r="DC3" i="1"/>
  <c r="CU3" i="1"/>
  <c r="DU16" i="3"/>
  <c r="BT10" i="4"/>
  <c r="DS7" i="3"/>
  <c r="EC3" i="3"/>
  <c r="BW12" i="4"/>
  <c r="DU18" i="3"/>
  <c r="CL12" i="4"/>
  <c r="CM12" i="4"/>
  <c r="DU7" i="3"/>
  <c r="DT16" i="3"/>
  <c r="DU19" i="3"/>
  <c r="DT21" i="3"/>
  <c r="DU8" i="3"/>
  <c r="BT4" i="4"/>
  <c r="DA5" i="1"/>
  <c r="CS5" i="1"/>
  <c r="DT15" i="3"/>
  <c r="DU9" i="3"/>
  <c r="DS4" i="3"/>
  <c r="BT7" i="4"/>
  <c r="ES6" i="3"/>
  <c r="ET19" i="3"/>
  <c r="DT20" i="3"/>
  <c r="DC6" i="1"/>
  <c r="DU5" i="1"/>
  <c r="DA4" i="1"/>
  <c r="EE5" i="1"/>
  <c r="DC4" i="1"/>
  <c r="EC3" i="1"/>
  <c r="EC4" i="1"/>
  <c r="CI4" i="4"/>
  <c r="CV11" i="4"/>
  <c r="CC12" i="4"/>
  <c r="DA12" i="4"/>
  <c r="CJ4" i="4"/>
  <c r="EA12" i="4"/>
  <c r="DU20" i="3"/>
  <c r="DT3" i="3"/>
  <c r="CY12" i="4"/>
  <c r="DB12" i="4"/>
  <c r="DU15" i="3"/>
  <c r="DZ12" i="4"/>
  <c r="CP4" i="4"/>
  <c r="CD12" i="4"/>
  <c r="DT18" i="3"/>
  <c r="Y14" i="11" a="1"/>
  <c r="T14" i="11" a="1"/>
  <c r="AB19" i="11" l="1"/>
  <c r="AA19" i="11" s="1"/>
  <c r="Y19" i="11" s="1"/>
  <c r="AO4" i="1"/>
  <c r="S4" i="1"/>
  <c r="W4" i="1" s="1"/>
  <c r="AO5" i="1"/>
  <c r="S5" i="1"/>
  <c r="W5" i="1" s="1"/>
  <c r="AO6" i="1"/>
  <c r="S6" i="1"/>
  <c r="CG20" i="1"/>
  <c r="DW21" i="1"/>
  <c r="BO12" i="4"/>
  <c r="ED12" i="4"/>
  <c r="CI12" i="4"/>
  <c r="BU12" i="4"/>
  <c r="BZ12" i="4"/>
  <c r="T6" i="11"/>
  <c r="Y6" i="11"/>
  <c r="AE19" i="11"/>
  <c r="AE18" i="11"/>
  <c r="BS20" i="1"/>
  <c r="DW19" i="1"/>
  <c r="DU20" i="1"/>
  <c r="DW20" i="1"/>
  <c r="DW22" i="1"/>
  <c r="BG4" i="1"/>
  <c r="CJ12" i="4"/>
  <c r="CU12" i="4"/>
  <c r="CO12" i="4"/>
  <c r="CA12" i="4"/>
  <c r="EC12" i="4"/>
  <c r="BT12" i="4"/>
  <c r="BE12" i="4"/>
  <c r="BF12" i="4"/>
  <c r="CV12" i="4"/>
  <c r="CP12" i="4"/>
  <c r="BN12" i="4"/>
  <c r="EK20" i="1"/>
  <c r="BQ20" i="1"/>
  <c r="AQ20" i="1" s="1"/>
  <c r="BE3" i="1"/>
  <c r="BE4" i="1"/>
  <c r="BG5" i="1"/>
  <c r="BG6" i="1"/>
  <c r="BE6" i="1"/>
  <c r="BE5" i="1"/>
  <c r="BG3" i="1"/>
  <c r="BO20" i="1"/>
  <c r="C24" i="2"/>
  <c r="C51" i="2"/>
  <c r="C24" i="19"/>
  <c r="E138" i="16"/>
  <c r="E165" i="16" s="1"/>
  <c r="T14" i="11"/>
  <c r="Y14" i="11"/>
  <c r="W6" i="1" l="1"/>
  <c r="O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<sst xmlns="http://schemas.openxmlformats.org/spreadsheetml/2006/main" count="2741" uniqueCount="979">
  <si>
    <t>Jednostka</t>
  </si>
  <si>
    <t>EBITDA</t>
  </si>
  <si>
    <t>CAPEX</t>
  </si>
  <si>
    <t>TWh</t>
  </si>
  <si>
    <t>blok biomasowy</t>
  </si>
  <si>
    <t>Łaziska</t>
  </si>
  <si>
    <t>Łagisza</t>
  </si>
  <si>
    <t>Siersza</t>
  </si>
  <si>
    <t>Blachownia</t>
  </si>
  <si>
    <t>Stalowa Wola</t>
  </si>
  <si>
    <t>ZW Nowa</t>
  </si>
  <si>
    <t>ZW Katowice</t>
  </si>
  <si>
    <t>ZW Bielsko-Biała</t>
  </si>
  <si>
    <t>EC-1</t>
  </si>
  <si>
    <t>EC-2</t>
  </si>
  <si>
    <t>-</t>
  </si>
  <si>
    <t>Zagórze</t>
  </si>
  <si>
    <t>Lipniki</t>
  </si>
  <si>
    <t>Marszewo</t>
  </si>
  <si>
    <t>Wicko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</si>
  <si>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</si>
  <si>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</si>
  <si>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</si>
  <si>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</si>
  <si>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</si>
  <si>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</si>
  <si>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</si>
  <si>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</si>
  <si>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Nakłady inwestycyjne</t>
  </si>
  <si>
    <t>Bilans</t>
  </si>
  <si>
    <t>ZW Tychy (BC-50)</t>
  </si>
  <si>
    <t>TAURON WYTWARZANIE</t>
  </si>
  <si>
    <t>TAURON CIEPŁO</t>
  </si>
  <si>
    <t>TAURON EKOENERGIA</t>
  </si>
  <si>
    <t>PJ</t>
  </si>
  <si>
    <t>w tym: ze źródeł odnawialnych / including production from renewables</t>
  </si>
  <si>
    <t>biomasa /biomass</t>
  </si>
  <si>
    <t xml:space="preserve"> elektrownie wodne /  hydropower plants</t>
  </si>
  <si>
    <t xml:space="preserve"> elektrownie wiatrowe / wind farms</t>
  </si>
  <si>
    <t>Wytwarzanie ciepła / Heat production</t>
  </si>
  <si>
    <t>Dystrybucja energii elektrycznej / Electricity distribution</t>
  </si>
  <si>
    <t>Sprzedaż detaliczna energii elektrycznej / Retail sale of electricity</t>
  </si>
  <si>
    <t>Liczba klientów – Dystrybucja / No of customers - Distribution</t>
  </si>
  <si>
    <t>Sprzedaż węgla kamiennego /Hard coal sale</t>
  </si>
  <si>
    <t>Produkcja węgla handlowego / Commercial hard coal production</t>
  </si>
  <si>
    <t>tys. / thou.</t>
  </si>
  <si>
    <t>mln Mg (million tons)</t>
  </si>
  <si>
    <r>
      <t>Produkcja energii elektrycznej brutto/ Gross electricity production</t>
    </r>
    <r>
      <rPr>
        <sz val="15"/>
        <color rgb="FFFF0000"/>
        <rFont val="Arial"/>
        <family val="2"/>
        <charset val="238"/>
      </rPr>
      <t>*</t>
    </r>
  </si>
  <si>
    <t>Przychody ze sprzedaży / Sales revenue</t>
  </si>
  <si>
    <t>Zysk netto / Net profit</t>
  </si>
  <si>
    <t>Dług netto/EBITDA / Net debt/EBITDA ratio</t>
  </si>
  <si>
    <t>Produkcja węgla/ Hard coal production</t>
  </si>
  <si>
    <t>Wytwarzanie energii elektrycznej / Electricity generation</t>
  </si>
  <si>
    <t>mln t (million tons)</t>
  </si>
  <si>
    <t>Rodzaj jednostki / Type</t>
  </si>
  <si>
    <t>Energia elektryczna (MWe)* / Electric capacity</t>
  </si>
  <si>
    <t>Ciepło (MWt)*/ Thermal capacity</t>
  </si>
  <si>
    <t>Jaworzno III (bloki 1-6) / Jaworzno III (units 1-6)</t>
  </si>
  <si>
    <t>Jaworzno II (bloki 2 i 3) /  Jaworzno II (units 2 and 3)</t>
  </si>
  <si>
    <t>Generation unit</t>
  </si>
  <si>
    <t>Bloki 1 i 2 (units 1 and 2)</t>
  </si>
  <si>
    <t>Bloki 9-12 (units 9-12)</t>
  </si>
  <si>
    <t>Bloki 6-7 (units 6-7)</t>
  </si>
  <si>
    <t>Blok 10 (unit 10)</t>
  </si>
  <si>
    <t>Bloki 1-2 (units 1-2)</t>
  </si>
  <si>
    <t>Bloki 3 i 6 (units 3 and 6)</t>
  </si>
  <si>
    <t>Elektrownia / Power plant</t>
  </si>
  <si>
    <t>od 10 grudnia 2014 r. przekazana do spółki TAMEH Polska / since December 10, 2014 the unit was transferred to TAMEH Polska</t>
  </si>
  <si>
    <t>Bloki 7-8 (units 7-8)</t>
  </si>
  <si>
    <t>blok biomasowy / biomass unit</t>
  </si>
  <si>
    <t>Układ kolektorowy / collector system</t>
  </si>
  <si>
    <t>Pozostałe źródła (ciepłownie lokalne i Kamienna Góra) Other units (local heating plants and Kamienna Góra)</t>
  </si>
  <si>
    <t>Elektrociepłownia / CHP</t>
  </si>
  <si>
    <t>Elektrownie wodne / Hydropower plants</t>
  </si>
  <si>
    <t>Farmy wiatrowe / Wind farms</t>
  </si>
  <si>
    <t>* moc zainstalowana / installed capacity</t>
  </si>
  <si>
    <t>Wyniki segmentów / Segment's results</t>
  </si>
  <si>
    <t>Segment Wydobycie Mining Segment</t>
  </si>
  <si>
    <t>Segment Dystrybucja / Distribution Segment</t>
  </si>
  <si>
    <t>Segment Sprzedaż / Supply Segment</t>
  </si>
  <si>
    <t>Pozostałe / Other</t>
  </si>
  <si>
    <t>Segment Wydobycie / Mining segment</t>
  </si>
  <si>
    <t>Segment Wytwarzanie / Generation segment</t>
  </si>
  <si>
    <t>Segment OZE / RES segment</t>
  </si>
  <si>
    <t>Segment Ciepło / Heat segment</t>
  </si>
  <si>
    <t>Segment Dystrybucja / Distribution segment</t>
  </si>
  <si>
    <t>Segment Sprzedaż / Supply segment</t>
  </si>
  <si>
    <t>Segment Obsługa Klienta / Customer Service segment</t>
  </si>
  <si>
    <t>Other</t>
  </si>
  <si>
    <t xml:space="preserve"> EBITDA 2014</t>
  </si>
  <si>
    <t xml:space="preserve"> EBIT 2014</t>
  </si>
  <si>
    <t xml:space="preserve"> EBITDA 2013</t>
  </si>
  <si>
    <t xml:space="preserve"> EBIT 2013</t>
  </si>
  <si>
    <t xml:space="preserve"> EBITDA Q4 2014</t>
  </si>
  <si>
    <t xml:space="preserve"> EBIT Q4 2014</t>
  </si>
  <si>
    <t xml:space="preserve"> EBITDA Q4 2013</t>
  </si>
  <si>
    <t>EBITDA 
Q1-Q3 2014</t>
  </si>
  <si>
    <t>EBIT 
Q1-Q3 2014</t>
  </si>
  <si>
    <t>EBITDA 
Q1-Q3 2013</t>
  </si>
  <si>
    <t xml:space="preserve">EBITDA 
Q2 2014 </t>
  </si>
  <si>
    <t xml:space="preserve">EBIT 
Q2 2014 </t>
  </si>
  <si>
    <t xml:space="preserve">EBITDA 
H1 2013 </t>
  </si>
  <si>
    <t xml:space="preserve">EBIT 
H1 2013 </t>
  </si>
  <si>
    <t xml:space="preserve">EBIT 
Q1-Q3 2013 </t>
  </si>
  <si>
    <t xml:space="preserve">EBITDA 
H1 2014 </t>
  </si>
  <si>
    <t xml:space="preserve">EBIT 
H1 2014 </t>
  </si>
  <si>
    <t xml:space="preserve">EBITDA 
Q2 2013 </t>
  </si>
  <si>
    <t xml:space="preserve">EBIT 
Q2 2013 </t>
  </si>
  <si>
    <t>Przychody ze sprzedaży Q2 2013  / Sales revenue Q2 2013</t>
  </si>
  <si>
    <t>Przychody ze sprzedaży 
Q1 2018 / Sales revenue Q1 2018</t>
  </si>
  <si>
    <t>EBITDA 
Q1 2018</t>
  </si>
  <si>
    <t>EBITDA 
Q1 2017</t>
  </si>
  <si>
    <t xml:space="preserve">EBIT 
Q1 2018 </t>
  </si>
  <si>
    <t xml:space="preserve">EBIT 
Q1 2017 </t>
  </si>
  <si>
    <t>Aktywa ogółem na dzień 
31 marca 2018 / Total assets as of 31.03.2018</t>
  </si>
  <si>
    <t>Aktywa ogółem na dzień 
31 marca 2017 / Total assets as of 31.03.2017</t>
  </si>
  <si>
    <t>Przychody ze sprzedaży 
Q4 2017 / Sales revenue Q4 2017</t>
  </si>
  <si>
    <t xml:space="preserve">EBITDA 
Q4 2017 </t>
  </si>
  <si>
    <t>EBITDA 
Q4 2016</t>
  </si>
  <si>
    <t xml:space="preserve">EBIT 
Q4 2017 </t>
  </si>
  <si>
    <t xml:space="preserve">EBIT 
Q4 2016 </t>
  </si>
  <si>
    <t>Aktywa ogółem na dzień 
31 grudnia 2017 / Total assets as of 31.12.2017</t>
  </si>
  <si>
    <t>Przychody ze sprzedaży 
2016 / Sales revenue 2016</t>
  </si>
  <si>
    <t xml:space="preserve">EBITDA 
2017 </t>
  </si>
  <si>
    <t>EBIT 
2017</t>
  </si>
  <si>
    <t xml:space="preserve">EBITDA 
2016 </t>
  </si>
  <si>
    <t xml:space="preserve">EBIT 
2016 </t>
  </si>
  <si>
    <t>Aktywa ogółem na dzień 
31 grudnia 2016  / Total assets as of 31.12.2016</t>
  </si>
  <si>
    <t>Aktywa ogółem na dzień 
31 grudnia 2017  / Total assets as of 31.12.2017</t>
  </si>
  <si>
    <t>Przychody ze sprzedaży 
Q3 2017 / Sales revenue Q3 2017</t>
  </si>
  <si>
    <t xml:space="preserve">EBITDA 
Q3 2017 </t>
  </si>
  <si>
    <t xml:space="preserve">EBITDA 
Q3 2016 </t>
  </si>
  <si>
    <t xml:space="preserve">EBIT 
Q3 2017 </t>
  </si>
  <si>
    <t>EBIT 
Q3 2016</t>
  </si>
  <si>
    <t>Aktywa ogółem na dzień 
30 września 2017 / Total assets as of 30.09.2017</t>
  </si>
  <si>
    <t>Aktywa ogółem na dzień 
30 września 2016 / Total assets as of 30.09.2016</t>
  </si>
  <si>
    <t>Przychody ze sprzedaży 
Q2 2017 / Sales revenue Q2 2017</t>
  </si>
  <si>
    <t>Przychody ze sprzedaży 
Q2 2016 / Sales revenue Q2 2016</t>
  </si>
  <si>
    <t xml:space="preserve">EBITDA 
Q2 2017 </t>
  </si>
  <si>
    <t xml:space="preserve">EBITDA 
Q2 2016 </t>
  </si>
  <si>
    <t xml:space="preserve">EBIT 
Q2 2017 </t>
  </si>
  <si>
    <t xml:space="preserve">EBIT 
Q2 2016 </t>
  </si>
  <si>
    <t>Aktywa ogółem na dzień 
30 czerwca 2017 / Total assets as of 30.06.2017</t>
  </si>
  <si>
    <t>Aktywa ogółem na dzień 
31 grudnia 2016 / Total assets as of 31.12.2016</t>
  </si>
  <si>
    <t>Przychody ze sprzedaży 
H1 2017 / Sales revenue H1 2017</t>
  </si>
  <si>
    <t>Przychody ze sprzedaży 
H1 2016 / Sales revenue H1 2017</t>
  </si>
  <si>
    <t xml:space="preserve">EBITDA 
H1 2017 </t>
  </si>
  <si>
    <t xml:space="preserve">EBITDA 
H1 2016 </t>
  </si>
  <si>
    <t xml:space="preserve">EBIT 
H1 2017 </t>
  </si>
  <si>
    <t xml:space="preserve">EBIT 
H1 2016 </t>
  </si>
  <si>
    <t>Przychody ze sprzedaży 
Q1 2017 / Sales revenue Q1 2017</t>
  </si>
  <si>
    <t>Przychody ze sprzedaży 
Q1 2016 / Sales revenue Q1 2016</t>
  </si>
  <si>
    <t xml:space="preserve">EBITDA 
Q1 2017 </t>
  </si>
  <si>
    <t xml:space="preserve">EBITDA 
Q1 2016 </t>
  </si>
  <si>
    <t xml:space="preserve">EBIT 
Q1 2016 </t>
  </si>
  <si>
    <t>Przychody ze sprzedaży 
2016  / Sales revenue 2016</t>
  </si>
  <si>
    <t>Przychody ze sprzedaży 
2015 / Sales revenue 2015</t>
  </si>
  <si>
    <t xml:space="preserve">EBITDA 
2015 </t>
  </si>
  <si>
    <t xml:space="preserve">EBIT 
2015 </t>
  </si>
  <si>
    <t>Aktywa ogółem na dzień 
31 grudnia 2015 / Total assets as of 31.12.2015</t>
  </si>
  <si>
    <t>Aktywa ogółem na dzień 
30 września 2015 / Total assets as of 30.09.2015</t>
  </si>
  <si>
    <t>Aktywa ogółem 
na dzień 30 czerwca 2016 / Total assets as of 30.06.2016</t>
  </si>
  <si>
    <t>Aktywa ogółem 
na dzień 30 czerwca 2015  / Total assets as of 30.06.2015</t>
  </si>
  <si>
    <t>Aktywa ogółem 
na dzień 31 marca 2015 / Total assets as of 31.03.2015</t>
  </si>
  <si>
    <t>Aktywa ogółem 
na dzień 31 marca 2016 / Total assets as of 31.03.2016</t>
  </si>
  <si>
    <t>Przychody ze sprzedaży 
za 2015 / Sales revenue 2015</t>
  </si>
  <si>
    <t>EBITDA 
2015</t>
  </si>
  <si>
    <t>EBIT 
2015</t>
  </si>
  <si>
    <t>Aktywa ogółem 
na dzień 31 grudnia 2015 / Total assets as of 31.12.2015</t>
  </si>
  <si>
    <t>Przychody ze sprzedaży 
za 2014 / Sales revenue 2014</t>
  </si>
  <si>
    <t>EBITDA 
2014</t>
  </si>
  <si>
    <t>EBIT 
2014</t>
  </si>
  <si>
    <t>Aktywa ogółem 
na dzień 31 grudnia 2014 / Total assets as of 31.12.2014</t>
  </si>
  <si>
    <t>Aktywa ogółem na dzień 
30 września 2014 / Total assets as of 30.09.2014</t>
  </si>
  <si>
    <t>Aktywa ogółem 
na dzień 30 czerwca 2015 / Total assets as of 30.06.2015</t>
  </si>
  <si>
    <t>Aktywa ogółem 
na dzień 30 czerwca 2014 / Total assets as of 30.06.2014</t>
  </si>
  <si>
    <t>Aktywa ogółem 
na dzień 31 marca 2015  / Total assets as of 31.03.2015</t>
  </si>
  <si>
    <t>Aktywa ogółem 
na dzień 31 marca 2014  / Total assets as of 31.03.2014</t>
  </si>
  <si>
    <t>Przychody ze sprzedaży za 2014 / Sales revenue 2014</t>
  </si>
  <si>
    <t>Aktywa ogółem na dzień 31 grudnia 2014 / Total assets as of 31.12.2014</t>
  </si>
  <si>
    <t>Przychody ze sprzedaży za 2013 / Sales revenue 2013</t>
  </si>
  <si>
    <t>Aktywa ogółem na dzień 31 grudnia 2013 / Total assets as of 31.12.2013</t>
  </si>
  <si>
    <t>Przychody ze sprzedaży 
 Q4 2014  / Sales revenue Q4 2014</t>
  </si>
  <si>
    <t>Przychody ze sprzedaży 
Q4 2013 / Sales revenue Q4 2013</t>
  </si>
  <si>
    <t>Aktywa ogółem na dzień 31 grudnia 2013  / Total assets as of 31.12.2013</t>
  </si>
  <si>
    <t>Przychody ze sprzedaży 
za Q3 2013 / Sales revenue Q3 2013</t>
  </si>
  <si>
    <t>EBITDA 
Q3 2013</t>
  </si>
  <si>
    <t>Przychody ze sprzedaży 
za Q3 2014 / Sales revenue Q3 2014</t>
  </si>
  <si>
    <t>EBITDA 
Q3 2014</t>
  </si>
  <si>
    <t>EBIT 
Q3 2014</t>
  </si>
  <si>
    <t>EBIT 
Q3 2013</t>
  </si>
  <si>
    <t>Aktywa ogółem na dzień 30 września 2014 / Total assets as of 30.09.2014</t>
  </si>
  <si>
    <t>Aktywa ogółem na dzień 30 września 2013 / Total assets as of 30.09.2013</t>
  </si>
  <si>
    <t>Przychody ze sprzedaży Q2 2014 / Sales revenue Q2 2013</t>
  </si>
  <si>
    <t>Przychody ze sprzedaży za H1 2013 / Sales revenue H1 2013</t>
  </si>
  <si>
    <t>Przychody ze sprzedaży za H1 2014 / Sales revenue H1 2014</t>
  </si>
  <si>
    <t>Aktywa ogółem na dzień 30 czerwca 2014  / Total assets as of 30.06.2014</t>
  </si>
  <si>
    <t>Aktywa ogółem na dzień 30 czerwca 2013  / Total assets as of 30.06.2013</t>
  </si>
  <si>
    <t xml:space="preserve">EBIT 
Q4 2013 </t>
  </si>
  <si>
    <t>Przychody ze sprzedaży 
Q3 2016  / Sales revenue Q3 2016</t>
  </si>
  <si>
    <t>Przychody ze sprzedaży 
Q4 2016 / Sales revenue Q4 2016</t>
  </si>
  <si>
    <t>Przychody ze sprzedaży 
2017 / Sales revenue 2017</t>
  </si>
  <si>
    <t>Nakłady inwestycyjne / CAPEX</t>
  </si>
  <si>
    <t>Rachunek zysków i strat / Profit and loss statement</t>
  </si>
  <si>
    <t xml:space="preserve">Nota / Note
</t>
  </si>
  <si>
    <t>Koszty sprzedaży / Selling and distribution expenses</t>
  </si>
  <si>
    <t>Koszty ogólnego zarządu / Administrative expenses</t>
  </si>
  <si>
    <t>Pozostałe przychody i koszty operacyjne / Other operating income and expenses</t>
  </si>
  <si>
    <t>Koszty odsetkowe od zadłużenia / Interest expense on debt</t>
  </si>
  <si>
    <t>Podatek dochodowy / Income tax expense</t>
  </si>
  <si>
    <t>Wycena instrumentów zabezpieczających / Measurement of hedging instruments</t>
  </si>
  <si>
    <t>Różnice kursowe z przeliczenia jednostki zagranicznej / Foreign exchange differences from translation of foreign entities</t>
  </si>
  <si>
    <t>Podatek dochodowy / Income tax</t>
  </si>
  <si>
    <t>Pozostałe całkowite dochody netto / Other comprehensive income, net of tax</t>
  </si>
  <si>
    <t>Łączne całkowite dochody / Total comprehensive income</t>
  </si>
  <si>
    <t>Akcjonariuszom jednostki dominującej / Attributable to equity holders of the Parent</t>
  </si>
  <si>
    <t>Udziałom niekontrolującym / Attributable to non-controlling interests</t>
  </si>
  <si>
    <t>Całkowity dochód przypadający: / Total comprehensive income:</t>
  </si>
  <si>
    <t>Nota / Note</t>
  </si>
  <si>
    <t>AKTYWA / ASSETS</t>
  </si>
  <si>
    <t>Aktywa trwałe / Non-current assets</t>
  </si>
  <si>
    <t>Rzeczowe aktywa trwałe / Property, plant and equipment</t>
  </si>
  <si>
    <t>Wartość firmy / Goodwill</t>
  </si>
  <si>
    <t>Pozostałe aktywa niematerialne / Other intangible assets</t>
  </si>
  <si>
    <t>Udziały i akcje we wspólnych przedsięwzięciach / Investments in joint ventures</t>
  </si>
  <si>
    <t>Pożyczki udzielone na rzecz wspólnych przedsięwzięć / Loans granted to joint ventures</t>
  </si>
  <si>
    <t>Pozostałe aktywa finansowe / Other financial assets</t>
  </si>
  <si>
    <t>Pozostałe aktywa niefinansowe / Other non-financial assets</t>
  </si>
  <si>
    <t>Aktywa z tytułu odroczonego podatku dochodowego / Deferred tax assets</t>
  </si>
  <si>
    <t>Aktywa obrotowe / Current assets</t>
  </si>
  <si>
    <t>Zapasy / Inventories</t>
  </si>
  <si>
    <t>Należności od odbiorców / Receivables from buyers</t>
  </si>
  <si>
    <t>Należności z tytułu podatków i opłat / Receivables arising from taxes and charges</t>
  </si>
  <si>
    <t>Środki pieniężne i ich ekwiwalenty / Cash and cash equivalents</t>
  </si>
  <si>
    <t>SUMA AKTYWÓW / TOTAL ASSETS</t>
  </si>
  <si>
    <t>PASYWA / EQUITY AND LIABILITIES</t>
  </si>
  <si>
    <t>Kapitał własny przypadający akcjonariuszom jednostki dominującej / Equity attributable to equity holders of the Parent</t>
  </si>
  <si>
    <t>Kapitał podstawowy / Issued capital</t>
  </si>
  <si>
    <t>Kapitał zapasowy / Reserve capital</t>
  </si>
  <si>
    <t>Kapitał z aktualizacji wyceny instrumentów zabezpieczających / Revaluation reserve from valuation of hedging instruments</t>
  </si>
  <si>
    <t>Zyski zatrzymane/(Niepokryte straty) / Retained earnings/(Accumulated losses)</t>
  </si>
  <si>
    <t>Udziały niekontrolujące / Non-controlling interests</t>
  </si>
  <si>
    <t>Kapitał własny ogółem / Total equity</t>
  </si>
  <si>
    <t>Zobowiązania długoterminowe / Non-current liabilities</t>
  </si>
  <si>
    <t>Zobowiązania z tytułu zadłużenia / Debt</t>
  </si>
  <si>
    <t>Rezerwy na świadczenia pracownicze / Provisions for employee benefits</t>
  </si>
  <si>
    <t>Rozliczenia międzyokresowe i dotacje rządowe / Accruals, deferred income and government grants</t>
  </si>
  <si>
    <t>Zobowiązania z tytułu odroczonego podatku dochodowego / Deferred tax liabilities</t>
  </si>
  <si>
    <t>Zobowiązania wobec dostawców / Liabilities to suppliers</t>
  </si>
  <si>
    <t>Pozostałe zobowiązania finansowe / Other financial liabilities</t>
  </si>
  <si>
    <t>Zobowiązania krótkoterminowe / Current liabilities</t>
  </si>
  <si>
    <t>Zobowiązania inwestycyjne / Capital commitments</t>
  </si>
  <si>
    <t>Pozostałe rezerwy / Other provisions</t>
  </si>
  <si>
    <t>Pozostałe zobowiązania niefinansowe / Other non-financial liabilities</t>
  </si>
  <si>
    <t>Zobowiązania razem / Total liabilities</t>
  </si>
  <si>
    <t>SUMA PASYWÓW / TOTAL EQUITY AND LIABILITIES</t>
  </si>
  <si>
    <t>Rachunek przepływów pieniężnych / Cash flow statement</t>
  </si>
  <si>
    <t>Przepływy środków pieniężnych z działalności operacyjnej / Cash flows from operating activities</t>
  </si>
  <si>
    <t>Udział w (zyskach)/stratach wspólnych przedsięwzięć / Share in (profit)/loss of joint ventures</t>
  </si>
  <si>
    <t>Amortyzacja / Depreciation and amortization</t>
  </si>
  <si>
    <t>Różnice kursowe / Exchange differences</t>
  </si>
  <si>
    <t>Odsetki i prowizje / Interest and commissions</t>
  </si>
  <si>
    <t>Pozostałe korekty zysku przed opodatkowaniem / Other adjustments of profit before tax</t>
  </si>
  <si>
    <t>Zmiana stanu kapitału obrotowego / Change in working capital</t>
  </si>
  <si>
    <t>Podatek dochodowy zapłacony / Income tax paid</t>
  </si>
  <si>
    <t>Środki pieniężne netto z działalności operacyjnej  / Net cash from operating activities</t>
  </si>
  <si>
    <t>Przepływy środków pieniężnych z działalności inwestycyjnej / Cash flows from investing activities</t>
  </si>
  <si>
    <t>Razem płatności / Total payments</t>
  </si>
  <si>
    <t>Razem wpływy / Total proceeds</t>
  </si>
  <si>
    <t>Środki pieniężne netto z działalności inwestycyjnej / Net cash used in investing activities</t>
  </si>
  <si>
    <t>Przepływy środków pieniężnych z działalności finansowej / Cash flows from financing activities</t>
  </si>
  <si>
    <t>Odsetki zapłacone / Interest paid</t>
  </si>
  <si>
    <t>Pozostałe płatności / Other payments</t>
  </si>
  <si>
    <t>Środki pieniężne netto z działalności finansowej / Net cash from financing activities</t>
  </si>
  <si>
    <t>Zwiększenie/(zmniejszenie) netto stanu środków pieniężnych i ich 
ekwiwalentów / Net increase / (decrease) in cash and cash equivalents</t>
  </si>
  <si>
    <t>Różnice kursowe netto / Net foreign exchange difference</t>
  </si>
  <si>
    <t>Środki pieniężne na początek okresu / Cash and cash equivalents at the beginning of the period</t>
  </si>
  <si>
    <r>
      <t xml:space="preserve">Środki pieniężne na koniec okresu, </t>
    </r>
    <r>
      <rPr>
        <b/>
        <i/>
        <sz val="10"/>
        <rFont val="Arial"/>
        <family val="2"/>
        <charset val="238"/>
      </rPr>
      <t>w tym: / Cash and cash equivalents at the end of the period, of which:</t>
    </r>
  </si>
  <si>
    <t>o ograniczonej możliwości dysponowania / restricted cash</t>
  </si>
  <si>
    <t xml:space="preserve">Q1 2018 </t>
  </si>
  <si>
    <t xml:space="preserve">Q1 2017 </t>
  </si>
  <si>
    <t xml:space="preserve">Q4 2017 </t>
  </si>
  <si>
    <t xml:space="preserve">Q4 2016 </t>
  </si>
  <si>
    <t xml:space="preserve">Q3 2017 </t>
  </si>
  <si>
    <t xml:space="preserve">Q3 2016 </t>
  </si>
  <si>
    <t xml:space="preserve">Q2 2017 </t>
  </si>
  <si>
    <t xml:space="preserve">Q2 2016 </t>
  </si>
  <si>
    <t xml:space="preserve">Q1 2016 </t>
  </si>
  <si>
    <t xml:space="preserve">H1 2014 </t>
  </si>
  <si>
    <t xml:space="preserve">H1 2013 </t>
  </si>
  <si>
    <t xml:space="preserve">Q4 2014 </t>
  </si>
  <si>
    <t xml:space="preserve">Q4 2013 </t>
  </si>
  <si>
    <t>Q3 2014</t>
  </si>
  <si>
    <t xml:space="preserve">Q3 2013 </t>
  </si>
  <si>
    <t xml:space="preserve">Q2 2014 </t>
  </si>
  <si>
    <t>Q2 2013</t>
  </si>
  <si>
    <t xml:space="preserve">Q1-Q3
2017 </t>
  </si>
  <si>
    <t xml:space="preserve">Q1-Q3
2016 </t>
  </si>
  <si>
    <t xml:space="preserve">H1 2017 </t>
  </si>
  <si>
    <t xml:space="preserve">H1 2016 </t>
  </si>
  <si>
    <t xml:space="preserve">Q1 2016  </t>
  </si>
  <si>
    <t xml:space="preserve">Q4 2015 </t>
  </si>
  <si>
    <t xml:space="preserve">Q1-Q3 2016 </t>
  </si>
  <si>
    <t xml:space="preserve">Q1-Q3 2015 </t>
  </si>
  <si>
    <t xml:space="preserve">Q3
2016 </t>
  </si>
  <si>
    <t xml:space="preserve">Q3
2015 </t>
  </si>
  <si>
    <t xml:space="preserve">H1
2016 </t>
  </si>
  <si>
    <t xml:space="preserve">H1
2015 </t>
  </si>
  <si>
    <t xml:space="preserve">Q2
2016 </t>
  </si>
  <si>
    <t xml:space="preserve">Q2
2015 </t>
  </si>
  <si>
    <t xml:space="preserve">Q1
2016 </t>
  </si>
  <si>
    <t xml:space="preserve">Q1
2015 </t>
  </si>
  <si>
    <t xml:space="preserve">Q1-Q3 2014 </t>
  </si>
  <si>
    <t xml:space="preserve">Q3 2015 </t>
  </si>
  <si>
    <t xml:space="preserve">Q3 2014 </t>
  </si>
  <si>
    <t xml:space="preserve">H1 2015 </t>
  </si>
  <si>
    <t xml:space="preserve">Q2 2015 </t>
  </si>
  <si>
    <t xml:space="preserve">Q1 2015 </t>
  </si>
  <si>
    <t xml:space="preserve">Q1 2014 </t>
  </si>
  <si>
    <t xml:space="preserve">Q1-Q3 2013 </t>
  </si>
  <si>
    <t xml:space="preserve">Q2 2013 </t>
  </si>
  <si>
    <t xml:space="preserve">Q1 2013 </t>
  </si>
  <si>
    <t>Key operating figures</t>
  </si>
  <si>
    <t>*dane produkcyjne za lata 2013, 2014 wykazywane są wg wartości netto (produkcja netto=produkcja brutto minus zużycie energii na potrzeby własne bloków, szacunkowy wskaźnik zużycia energii na potrzeby własne to ok. 9-10%). Od roku 2015 produkcja energii wykazywana jest wg wartości brutto / electricity production data for the years 2013 and 2014 are presented in net figures (net production=gross production less electricity used for generation unit's own needs, estimated ratio of unit's own needs: 9-10%)</t>
  </si>
  <si>
    <t xml:space="preserve">Q4
2016 </t>
  </si>
  <si>
    <t xml:space="preserve">Q4
2015 </t>
  </si>
  <si>
    <t>Q3 2015</t>
  </si>
  <si>
    <t xml:space="preserve">Q1-Q3 2017 </t>
  </si>
  <si>
    <t>Jednostki wytwórcze Grupy TAURON / TAURON Group's generation units</t>
  </si>
  <si>
    <t>GRUPA / Group - łączna moc (total capacity)</t>
  </si>
  <si>
    <t>EBITDA 
za Q4 2015 / EBITDA Q4 2015</t>
  </si>
  <si>
    <t>EBIT 
za Q4 2015 / EBIT Q4 2015</t>
  </si>
  <si>
    <t>EBITDA 
za Q4 2016 / EBITDA Q4 2016</t>
  </si>
  <si>
    <t>Przychody ze sprzedaży 
Q1-Q3 2016 / Sales revenue Q1-Q3 2016</t>
  </si>
  <si>
    <t xml:space="preserve">EBITDA 
Q1-Q3 2016 </t>
  </si>
  <si>
    <t xml:space="preserve">EBIT 
Q1-Q3 2016 </t>
  </si>
  <si>
    <t xml:space="preserve">EBIT 
Q1-Q3 2015 </t>
  </si>
  <si>
    <t xml:space="preserve">EBITDA 
Q1-Q3 2015 </t>
  </si>
  <si>
    <t>Przychody ze sprzedaży 
Q1-Q3 2015  / Sales revenue Q1-Q3 2015</t>
  </si>
  <si>
    <t>Przychody ze sprzedaży 
Q3 2016 / Sales revenue Q3 2016</t>
  </si>
  <si>
    <t>EBITDA 
Q3 2016 / EBITDA Q3 2016</t>
  </si>
  <si>
    <t>Przychody ze sprzedaży 
Q3 2015 / Sales revenue Q3 2015</t>
  </si>
  <si>
    <t>EBITDA 
Q3 2015 / EBITDA Q3 2015</t>
  </si>
  <si>
    <t>Przychody ze sprzedaży 
H1 2015 / Sales revenue H1 2015</t>
  </si>
  <si>
    <t>Przychody ze sprzedaży 
H1 2016  / Sales revenue H1 2016</t>
  </si>
  <si>
    <t>EBITDA 
Q2 2016 / EBITDA Q2 2016</t>
  </si>
  <si>
    <t>EBITDA 
Q2 2015 / EBITDA Q2 2015</t>
  </si>
  <si>
    <t>Przychody ze sprzedaży 
Q2 2015 / Sales revenue Q2 2015</t>
  </si>
  <si>
    <t>EBITDA 
Q1 2016 / EBITDA Q1 2016</t>
  </si>
  <si>
    <t>Przychody ze sprzedaży 
Q1 2015 / Sales revenue Q1 2015</t>
  </si>
  <si>
    <t>Przychody ze sprzedaży 
Q4 2015 / Sales revenue Q4 2015</t>
  </si>
  <si>
    <t>Przychody ze sprzedaży 
Q1-Q3 2015 / Sales revenue Q1-Q3 2015</t>
  </si>
  <si>
    <t>Przychody ze sprzedaży 
Q1-Q3 2014 / Sales revenue Q1-Q3 2014</t>
  </si>
  <si>
    <t>EBITDA 
Q1-Q3 2014 / EBITDA Q1-Q3 2014</t>
  </si>
  <si>
    <t>EBIT 
Q1-Q3 2014 / EBIT Q1-Q3 2014</t>
  </si>
  <si>
    <t>EBITDA 
Q1-Q3 2015 / EBITDA Q1-Q3 2015</t>
  </si>
  <si>
    <t>Przychody ze sprzedaży 
H1 2014 / Sales revenue H1 2014</t>
  </si>
  <si>
    <t>EBITDA 
Q1 2015 / EBITDA Q1 2015</t>
  </si>
  <si>
    <t>Przychody ze sprzedaży 
Q1 2014 / Sales revenue Q1 2014</t>
  </si>
  <si>
    <t>EBITDA 
Q1 2014 / EBITDA Q1 2014</t>
  </si>
  <si>
    <t>EBIT 
Q1 2014 / EBIT Q1 2014</t>
  </si>
  <si>
    <t>sprzedaż węgla energetycznego poza Grupę / external sale of hard coal (outside the Group)</t>
  </si>
  <si>
    <t>sprzedaż węgla energetycznego do Grupy / sale od hard coal to Group's power plants and CHPs</t>
  </si>
  <si>
    <t>Przychody ze sprzedaży 
Q1-Q3 2017 / Sales revenue Q1-Q3 2017</t>
  </si>
  <si>
    <t>Przychody ze sprzedaży 
Q1-Q3 2016  / Sales revenue Q1-Q3 2016</t>
  </si>
  <si>
    <t>EBITDA 
Q1-Q3 2016  / EBITDA Q1-Q3 2016</t>
  </si>
  <si>
    <t>EBITDA 
Q1-Q3 2017 / EBITDA Q1-Q3 2017</t>
  </si>
  <si>
    <t>EBIT 
Q1-Q3 2017 / EBIT Q1-Q3 2017</t>
  </si>
  <si>
    <t>EBIT 
Q1-Q3 2016 / EBIT Q1-Q3 2016</t>
  </si>
  <si>
    <t>EBIT 
Q1-Q3 2015 / EBIT Q1-Q3 2015</t>
  </si>
  <si>
    <t>Przychody ze sprzedaży 
Q1-Q3 2013 / Sales revenue Q1-Q3 2013</t>
  </si>
  <si>
    <t>tys. zł (PLN thousand)</t>
  </si>
  <si>
    <t>Dane w tys. zł (figures in PLN thousand)</t>
  </si>
  <si>
    <t>Łącznie / Total</t>
  </si>
  <si>
    <t>Podstawowe dane / Key figures</t>
  </si>
  <si>
    <t>Historyczne dane kwartalne / Historical quarterly figures</t>
  </si>
  <si>
    <t>Rachunek zysków i strat / Profit and loss account</t>
  </si>
  <si>
    <t>Koszt sprzedanych towarów, produktów, materiałów i usług / Cost of products, goods, materials and services sold</t>
  </si>
  <si>
    <t>Koszty sprzedaży / Cost of sales</t>
  </si>
  <si>
    <t>Zysk (strata) operacyjna / Operating profit (loss)</t>
  </si>
  <si>
    <t>Zysk (strata) przypadająca: / Profit (loss):</t>
  </si>
  <si>
    <t>Akcjonariuszom jednostki dominującej / attributable to equity holders of the parent</t>
  </si>
  <si>
    <t>Udziałom niekontrolującym / attributable to non-controlling interests</t>
  </si>
  <si>
    <t>Bilans / Balance sheet</t>
  </si>
  <si>
    <t>Aktywa z tytułu podatku odroczonego / Deferred tax assets</t>
  </si>
  <si>
    <t>Należności z tytułu podatku dochodowego / Corporate income tax receivables</t>
  </si>
  <si>
    <t>Kapitał własny przypadający akcjonariuszom jednostki dominującej / Equity attributable to equity holders of the parent</t>
  </si>
  <si>
    <t>Instrumenty pochodne / Derivative instruments</t>
  </si>
  <si>
    <t>Zobowiązanie z tytułu odroczonego podatku dochodowego / Deferred tax liability</t>
  </si>
  <si>
    <t>Zobowiązania z tytułu podatku dochodowego / Corporate income tax payable</t>
  </si>
  <si>
    <t>Udział w zyskach/(stratach) wspólnych przedsięwzięć / Share in profit/(loss) of joint ventures</t>
  </si>
  <si>
    <t>Środki pieniężne netto z działalności operacyjnej / Net cash from operating activities</t>
  </si>
  <si>
    <t>Sprzedaż rzeczowych aktywów trwałych i aktywów niematerialnych / Proceeds from sale of property, plant and equipment and intangible assets</t>
  </si>
  <si>
    <t>Środki pieniężne netto z działalności finansowej / Net cash from (used in) financing activities</t>
  </si>
  <si>
    <t>Zwiększenie/(zmniejszenie) netto stanu środków pieniężnych i ich ekwiwalentów / Net increase/(decrease) in cash and cash equivalents</t>
  </si>
  <si>
    <t>Środki pieniężne na koniec okresu, w tym: / Cash and cash equivalents at the end of the period, of which:</t>
  </si>
  <si>
    <t>Zysk (strata) przed opodatkowaniem / Profit/(loss) before taxation</t>
  </si>
  <si>
    <t xml:space="preserve">     Nabycie rzeczowych aktywów trwałych i aktywów niematerialnych / Purchase of property, plant and equipment and intangible assets</t>
  </si>
  <si>
    <t xml:space="preserve">     Nabycie aktywów finansowych / Purchase of financial assets</t>
  </si>
  <si>
    <t xml:space="preserve">     Udzielenie pożyczek / Loans granted</t>
  </si>
  <si>
    <t xml:space="preserve">     Pozostałe płatności / Other payments</t>
  </si>
  <si>
    <t xml:space="preserve">     Wykup dłużnych papierów wartościowych / Redemption of debt securities</t>
  </si>
  <si>
    <t xml:space="preserve">     Dywidendy otrzymane / Dividends received</t>
  </si>
  <si>
    <t xml:space="preserve">     Pozostałe wpływy / Other proceeds</t>
  </si>
  <si>
    <t>Środki pieniężne netto z działalności inwestycyjnej / Cash flows from investing activities</t>
  </si>
  <si>
    <t xml:space="preserve">     Spłata pożyczek/kredytów / Repayment of loans</t>
  </si>
  <si>
    <t xml:space="preserve">     Odsetki zapłacone / Interest paid</t>
  </si>
  <si>
    <t xml:space="preserve">     Wpływy z tytułu zaciągnięcia kredytów/pożyczek / Proceeds from contracted loans/borrowings</t>
  </si>
  <si>
    <t xml:space="preserve">     Otrzymane dotacje / Subsidies and amends received</t>
  </si>
  <si>
    <t xml:space="preserve">     Różnice kursowe netto / Net foreign exchange differences</t>
  </si>
  <si>
    <t xml:space="preserve">     o ograniczonej możliwości dysponowania / restricted cash</t>
  </si>
  <si>
    <t>Historyczne dane półroczne / Historical semiannual figures</t>
  </si>
  <si>
    <t xml:space="preserve">     Sprzedaż rzeczowych aktywów trwałych i aktywów niematerialnych / Proceeds from sale of property, plant and equipment and intangible assets</t>
  </si>
  <si>
    <t>Historyczne dane roczne / Historical annual figures</t>
  </si>
  <si>
    <t>Akcjonariuszom jednostki dominującej / Attributable to equity holders of the parent</t>
  </si>
  <si>
    <t>Zyski zatrzymane/Niepokryte straty / Retained earnings (Accumulated losses)</t>
  </si>
  <si>
    <t>Zysk (strata) przed opodatkowaniem / Profit (loss) before taxation</t>
  </si>
  <si>
    <t xml:space="preserve">   Amortyzacja / Depreciation and amortization</t>
  </si>
  <si>
    <t xml:space="preserve">   Odsetki i prowizje / Interest and commissions</t>
  </si>
  <si>
    <t xml:space="preserve">   Pozostałe korekty zysku przed opodatkowaniem / Other adjustments of profit before tax</t>
  </si>
  <si>
    <t xml:space="preserve">   Nabycie rzeczowych aktywów trwałych i aktywów niematerialnych / Purchase of property, plant and equipment and intangible assets</t>
  </si>
  <si>
    <t xml:space="preserve">   Nabycie aktywów finansowych / Purchase of financial assets</t>
  </si>
  <si>
    <t xml:space="preserve">   Udzielenie pożyczek / Loans granted</t>
  </si>
  <si>
    <t xml:space="preserve">   Pozostałe płatności / Other payments</t>
  </si>
  <si>
    <t xml:space="preserve">   Sprzedaż rzeczowych aktywów trwałych i aktywów niematerialnych / Proceeds from sale of property, plant and equipment and intangible assets</t>
  </si>
  <si>
    <t xml:space="preserve">   Dywidendy otrzymane / Dividends received</t>
  </si>
  <si>
    <t xml:space="preserve">   Pozostałe wpływy / Other proceeds</t>
  </si>
  <si>
    <t xml:space="preserve">  Wykup dłużnych papierów wartościowych / Redemption of debt securities</t>
  </si>
  <si>
    <t xml:space="preserve">   Spłata pożyczek/kredytów / Repayment of loans and borrowings</t>
  </si>
  <si>
    <t xml:space="preserve">   Odsetki zapłacone / Interest paid</t>
  </si>
  <si>
    <t xml:space="preserve">   Emisja dłużnych papierów wartościowych / Issue of debt securities</t>
  </si>
  <si>
    <t xml:space="preserve">   Wpływy z tytułu zaciągnięcia kredytów/pożyczek / Proceeds from contracted loans/borrowings</t>
  </si>
  <si>
    <t xml:space="preserve">   Otrzymane dotacje / Subsidies and amends received</t>
  </si>
  <si>
    <t xml:space="preserve">   Różnice kursowe netto / Net foreign exchange difference</t>
  </si>
  <si>
    <t>Środki pieniężne na początek okresu / Cash and cash equivalents at the begining of the period</t>
  </si>
  <si>
    <t xml:space="preserve">   o ograniczonej możliwości dysponowania / restricted cash</t>
  </si>
  <si>
    <t xml:space="preserve">H1 2018 </t>
  </si>
  <si>
    <t xml:space="preserve">Q2 2018 </t>
  </si>
  <si>
    <t xml:space="preserve"> Q1 2018</t>
  </si>
  <si>
    <t>Q4 2017</t>
  </si>
  <si>
    <t>Q3 2017</t>
  </si>
  <si>
    <t>Q2 2017</t>
  </si>
  <si>
    <t xml:space="preserve"> Q1 2017</t>
  </si>
  <si>
    <t>Q4 2016</t>
  </si>
  <si>
    <t>Q3 2016</t>
  </si>
  <si>
    <t>Q2 2016</t>
  </si>
  <si>
    <t xml:space="preserve"> Q1 2016</t>
  </si>
  <si>
    <t>Q4 2015</t>
  </si>
  <si>
    <t>Q2 2015</t>
  </si>
  <si>
    <t xml:space="preserve"> Q1 2015</t>
  </si>
  <si>
    <t>Q4 2014</t>
  </si>
  <si>
    <t>Q2 2014</t>
  </si>
  <si>
    <t xml:space="preserve"> Q1 2014</t>
  </si>
  <si>
    <t>Q4 2013</t>
  </si>
  <si>
    <t>Q3 2013</t>
  </si>
  <si>
    <t xml:space="preserve"> Q1 2013</t>
  </si>
  <si>
    <t xml:space="preserve"> Q2 2018</t>
  </si>
  <si>
    <t>Przychody ze sprzedaży 
Q2 2018 / Sales revenue Q2 2018</t>
  </si>
  <si>
    <t>EBITDA 
Q2 2018</t>
  </si>
  <si>
    <t xml:space="preserve">EBIT 
Q2 2018 </t>
  </si>
  <si>
    <t>Aktywa ogółem na dzień 
30 czerwca 2018 / Total assets as of 30.06.2018</t>
  </si>
  <si>
    <t>Przychody ze sprzedaży 
Q1 2015 / Sales revenue 
Q1 2015</t>
  </si>
  <si>
    <t>EBIT 
Q1 2015 / EBIT 
Q1 2015</t>
  </si>
  <si>
    <t>EBITDA 
Q2 2015 / EBITDA 
Q2 2015</t>
  </si>
  <si>
    <t>EBIT 
Q2 2015 / EBIT 
Q2 2015</t>
  </si>
  <si>
    <t>EBIT 
Q2 2014 / EBIT 
Q2 2014</t>
  </si>
  <si>
    <t>EBITDA 
Q2 2014 / EBITDA 
Q2 2014</t>
  </si>
  <si>
    <t>Przychody ze sprzedaży 
Q2 2015 / Sales revenue 
Q2 2015</t>
  </si>
  <si>
    <t>Przychody ze sprzedaży 
Q2 2014 / Sales revenue 
Q2 2014</t>
  </si>
  <si>
    <t>EBIT 
H1 2015 / EBIT 
H1 2015</t>
  </si>
  <si>
    <t>EBIT 
H1 2014 / EBIT 
H1 2014</t>
  </si>
  <si>
    <t>EBITDA 
H1 2015 / EBITDA 
H1 2015</t>
  </si>
  <si>
    <t>EBITDA 
H1 2014 / EBITDA 
H1 2014</t>
  </si>
  <si>
    <t>EBIT 
Q3 2015 / EBIT 
Q3 2015</t>
  </si>
  <si>
    <t>EBIT 
Q3 2014 / EBIT 
Q3 2014</t>
  </si>
  <si>
    <t>EBITDA 
Q3 2015 / EBITDA 
Q3 2015</t>
  </si>
  <si>
    <t>EBITDA 
Q3 2014 / EBITDA 
Q3 2014</t>
  </si>
  <si>
    <t>Przychody ze sprzedaży 
Q3 2015 / Sales revenue 
Q3 2015</t>
  </si>
  <si>
    <t>Przychody ze sprzedaży 
Q3 2014 / Sales revenue 
Q3 2014</t>
  </si>
  <si>
    <t>EBIT 
Q4 2015 / EBIT 
Q4 2015</t>
  </si>
  <si>
    <t>EBIT 
Q4 2014 / EBIT 
Q4 2014</t>
  </si>
  <si>
    <t>EBITDA 
Q4 2015 / EBITDA 
Q4 2015</t>
  </si>
  <si>
    <t>EBITDA 
Q4 2014 / EBITDA 
Q4 2014</t>
  </si>
  <si>
    <t>Przychody ze sprzedaży 
Q4 2015 / Sales revenue 
Q4 2015</t>
  </si>
  <si>
    <t>Przychody ze sprzedaży 
Q4 2014 / Sales revenue 
Q4 2014</t>
  </si>
  <si>
    <t>EBIT 
Q1 2016 / EBIT 
Q1 2016</t>
  </si>
  <si>
    <t>EBIT 
Q2 2016 / EBIT 
Q2 2016</t>
  </si>
  <si>
    <t>EBIT 
H1 2016 / EBIT 
H1 2016</t>
  </si>
  <si>
    <t>EBITDA 
H1 2016 / EBITDA 
H1 2016</t>
  </si>
  <si>
    <t>EBIT 
Q3 2016 / EBIT 
Q3 2016</t>
  </si>
  <si>
    <t>EBIT 
Q4 2016 / EBIT 
Q4 2016</t>
  </si>
  <si>
    <t>Przychody ze sprzedaży 
Q4 2016 / Sales revenue 
Q4 2016</t>
  </si>
  <si>
    <t>Przychody ze sprzedaży 
H1 2018 / Sales revenue H1 2018</t>
  </si>
  <si>
    <t>EBITDA 
H1 2018</t>
  </si>
  <si>
    <t xml:space="preserve">EBIT 
H1 2018 </t>
  </si>
  <si>
    <t>EBITDA 
Q2 2017</t>
  </si>
  <si>
    <t>EBITDA 
H1 2017</t>
  </si>
  <si>
    <t>Q3 
2015</t>
  </si>
  <si>
    <t xml:space="preserve">Q1-Q3 2018 </t>
  </si>
  <si>
    <t xml:space="preserve">Q3 2018 </t>
  </si>
  <si>
    <t>Q3 2018</t>
  </si>
  <si>
    <t>Przychody ze sprzedaży 
Q1-Q3 2018 / Sales revenue Q1-Q3 2018</t>
  </si>
  <si>
    <t>EBITDA 
Q1-Q3 2018</t>
  </si>
  <si>
    <t xml:space="preserve">EBIT 
Q1-Q3 2018 </t>
  </si>
  <si>
    <t>Aktywa ogółem na dzień 
30 września 2018 / Total assets as of 30.09.2018</t>
  </si>
  <si>
    <t>Przychody ze sprzedaży 
Q3 2018 / Sales revenue Q3 2018</t>
  </si>
  <si>
    <t>EBITDA 
Q3 2018</t>
  </si>
  <si>
    <t xml:space="preserve">EBIT 
Q3 2018 </t>
  </si>
  <si>
    <t>EBITDA 
Q1-Q3 2017</t>
  </si>
  <si>
    <t xml:space="preserve">EBIT 
Q1-Q3 2017 </t>
  </si>
  <si>
    <t>EBITDA 
Q3 2017</t>
  </si>
  <si>
    <t>Należności z tytułu podatku dochodowego / Income tax receivables</t>
  </si>
  <si>
    <t>Należności z tytułu pozostałych podatków i opłat/ Receivables arising from other taxes and charges</t>
  </si>
  <si>
    <t>Zobowiązania z tytułu podatku dochodowego / Income tax liabilities</t>
  </si>
  <si>
    <t>Zobowiązania z tytułu pozostałych podatków i opłat / Liabilities arising from other taxes and charges</t>
  </si>
  <si>
    <t>Q4 2018</t>
  </si>
  <si>
    <t>Przychody ze sprzedaży 
2018 / Sales revenue 2018</t>
  </si>
  <si>
    <t>EBITDA 
2018</t>
  </si>
  <si>
    <t xml:space="preserve">EBIT 
2018 </t>
  </si>
  <si>
    <t>Aktywa ogółem na dzień 
31 grudnia 2018 / Total assets as of 31.12.2018</t>
  </si>
  <si>
    <t>EBITDA 
2017</t>
  </si>
  <si>
    <t xml:space="preserve">EBIT 
2017 </t>
  </si>
  <si>
    <t>Przychody ze sprzedaży 
Q4 2018 / Sales revenue Q4 2018</t>
  </si>
  <si>
    <t>EBITDA 
Q4 2018</t>
  </si>
  <si>
    <t xml:space="preserve">EBIT 
Q4 2018 </t>
  </si>
  <si>
    <t>EBITDA 
Q4 2017</t>
  </si>
  <si>
    <t>Prawa do użytkowania aktywów / Right-of-use asset</t>
  </si>
  <si>
    <t>Q1 2019</t>
  </si>
  <si>
    <t xml:space="preserve"> Q1 2019</t>
  </si>
  <si>
    <t>Przychody ze sprzedaży 
Q1 2019 / Sales revenue Q1 2019</t>
  </si>
  <si>
    <t>EBITDA 
Q1 2019</t>
  </si>
  <si>
    <t xml:space="preserve">EBIT 
Q1 2019 </t>
  </si>
  <si>
    <t>Aktywa ogółem na dzień 
31 marca 2019 / Total assets as of 31.03.2019</t>
  </si>
  <si>
    <t xml:space="preserve">Q1 2019 </t>
  </si>
  <si>
    <t>Prawa do użytkowania aktywów / Right-of-use assets</t>
  </si>
  <si>
    <t>Pozostałe przychody i koszty operacyjne/ Other operating income and expenses</t>
  </si>
  <si>
    <t>Przychody finansowe i pozostałe koszty finansowe / Finance income and other finance costs</t>
  </si>
  <si>
    <t>Q2 2019</t>
  </si>
  <si>
    <t>H1 2019</t>
  </si>
  <si>
    <t>Aktywa ogółem na dzień 
30 czerwca 2019 / Total assets as of 30.06.2019</t>
  </si>
  <si>
    <t>Przychody ze sprzedaży 
Q2 2019 / Sales revenue Q2 2019</t>
  </si>
  <si>
    <t>EBITDA 
Q2 2019</t>
  </si>
  <si>
    <t xml:space="preserve">EBIT 
Q2 2019 </t>
  </si>
  <si>
    <t>Przychody ze sprzedaży 
Q2 2018 / Sales revenue Q1 2018</t>
  </si>
  <si>
    <t>Przychody ze sprzedaży 
H1 2019 / Sales revenue H1 2019</t>
  </si>
  <si>
    <t>EBITDA 
H1 2019</t>
  </si>
  <si>
    <t xml:space="preserve">EBIT 
H1 2019 </t>
  </si>
  <si>
    <t xml:space="preserve">Q2 2019 </t>
  </si>
  <si>
    <t xml:space="preserve">H12019 </t>
  </si>
  <si>
    <t xml:space="preserve">H12018 </t>
  </si>
  <si>
    <t>Q1-Q3 2019</t>
  </si>
  <si>
    <t>Q3 2019</t>
  </si>
  <si>
    <t>Przychody ze sprzedaży 
Q1-Q3 2019 / Sales revenue Q1-Q3 2019</t>
  </si>
  <si>
    <t>EBITDA 
Q1-Q3 2019</t>
  </si>
  <si>
    <t xml:space="preserve">EBIT 
Q1-Q3 2019 </t>
  </si>
  <si>
    <t>Aktywa ogółem na dzień 
30 września 2019 / Total assets as of 30.09.2019</t>
  </si>
  <si>
    <t>Przychody ze sprzedaży 
Q3 2019 / Sales revenue Q3 2019</t>
  </si>
  <si>
    <t>EBITDA 
Q3 2019</t>
  </si>
  <si>
    <t xml:space="preserve">EBIT 
Q3 2019 </t>
  </si>
  <si>
    <t xml:space="preserve">Q1-Q3 2019 </t>
  </si>
  <si>
    <t xml:space="preserve">Q3 2019 </t>
  </si>
  <si>
    <t>Pozostałe aktywa finansowe /Other financial assets</t>
  </si>
  <si>
    <t>Spłata zobowiązań leasingowych / Repayment of lease libilities</t>
  </si>
  <si>
    <t xml:space="preserve">   Rekompensaty / Recompensation revenue</t>
  </si>
  <si>
    <t xml:space="preserve">   Przychody ze sprzedaży / Sales revenue</t>
  </si>
  <si>
    <t>Q4 2019</t>
  </si>
  <si>
    <t xml:space="preserve">Q4 2018 </t>
  </si>
  <si>
    <t>Przychody ze sprzedaży 
2019 / Sales revenue 2019</t>
  </si>
  <si>
    <t>EBITDA 
2019</t>
  </si>
  <si>
    <t xml:space="preserve">EBIT 
2019 </t>
  </si>
  <si>
    <t>Aktywa ogółem na dzień 
31 grudnia 2019 / Total assets as of 31.12.2019</t>
  </si>
  <si>
    <t>Przychody ze sprzedaży 
Q4 2019 / Sales revenue Q4 2019</t>
  </si>
  <si>
    <t>EBITDA 
Q4 2019</t>
  </si>
  <si>
    <t xml:space="preserve">EBIT 
Q4 2019 </t>
  </si>
  <si>
    <t xml:space="preserve">Q4 2019 </t>
  </si>
  <si>
    <t>Q1 2020</t>
  </si>
  <si>
    <t xml:space="preserve"> Q1 2020</t>
  </si>
  <si>
    <t>Przychody ze sprzedaży 
Q1 2020 / Sales revenue Q1 2020</t>
  </si>
  <si>
    <t>EBITDA 
Q1 2020</t>
  </si>
  <si>
    <t xml:space="preserve">EBIT 
Q1 2020 </t>
  </si>
  <si>
    <t>Aktywa ogółem na dzień 
31 marca 2020 / Total assets as of 31.03.2020</t>
  </si>
  <si>
    <t>Segment OZE / RES Segment</t>
  </si>
  <si>
    <t>Segment Wytwarzanie / Generation Segment</t>
  </si>
  <si>
    <t xml:space="preserve"> Q2 2020</t>
  </si>
  <si>
    <t>Q2 2020</t>
  </si>
  <si>
    <t>H1 2020</t>
  </si>
  <si>
    <t xml:space="preserve">H1 2019 </t>
  </si>
  <si>
    <t>Przychody ze sprzedaży 
H1 2020 / Sales revenue H1 2020</t>
  </si>
  <si>
    <t>Działaność zaniechana</t>
  </si>
  <si>
    <t>EBITDA 
H1 2020</t>
  </si>
  <si>
    <t xml:space="preserve">EBIT 
H1 2020 </t>
  </si>
  <si>
    <t>Działalnośc zaniechana</t>
  </si>
  <si>
    <t>Przychody ze sprzedaży 
Q2 2020 / Sales revenue Q2 2020</t>
  </si>
  <si>
    <t>EBITDA 
Q2 2020</t>
  </si>
  <si>
    <t xml:space="preserve">EBIT 
Q2 2020 </t>
  </si>
  <si>
    <t>Aktywa ogółem na dzień 
30 czerwca 2020 / Total assets as of 31.03.2020</t>
  </si>
  <si>
    <t>Aktywa ogółem na dzień 
30 czerwca 2019 / Total assets as of 31.03.2019</t>
  </si>
  <si>
    <t>Q1-Q3 2020</t>
  </si>
  <si>
    <t>Q3 2020</t>
  </si>
  <si>
    <t>Przychody ze sprzedaży 
Q3 2020 / Sales revenue Q3 2020</t>
  </si>
  <si>
    <t>EBITDA 
Q3 2020</t>
  </si>
  <si>
    <t xml:space="preserve">EBIT 
Q3 2020 </t>
  </si>
  <si>
    <t>Aktywa ogółem na dzień 
30 września 2020 / Total assets as of 30.09.2020</t>
  </si>
  <si>
    <t>Przychody ze sprzedaży 
Q1-Q3 2020 / Sales revenue Q1-Q3 2020</t>
  </si>
  <si>
    <t>EBITDA 
Q1-Q3 2020</t>
  </si>
  <si>
    <t xml:space="preserve">EBIT 
Q1-Q3 2020 </t>
  </si>
  <si>
    <t xml:space="preserve">Koszt sprzedanych towarów, produktów, materiałów i usług  / Cost of sales </t>
  </si>
  <si>
    <t>Aktywa zaklasyfikowane jako przeznaczone do sprzedaży / Assets classified as held for sale</t>
  </si>
  <si>
    <t>Otrzymane dotacje  / Subsidies received</t>
  </si>
  <si>
    <r>
      <t>Świadectwa pochodzenia energii i prawa do emisji CO2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</si>
  <si>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CO2 do umorzenia/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</si>
  <si>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FY 2020</t>
  </si>
  <si>
    <t>FY 2019</t>
  </si>
  <si>
    <t>Q4 2020</t>
  </si>
  <si>
    <t>Przychody ze sprzedaży 
Q4 2020 / Sales revenue Q4 2020</t>
  </si>
  <si>
    <t>EBITDA 
Q4 2020</t>
  </si>
  <si>
    <t xml:space="preserve">EBIT 
Q4 2020 </t>
  </si>
  <si>
    <t>Przychody ze sprzedaży 
Q1-Q4 2020 / Sales revenue Q1-Q4 2020</t>
  </si>
  <si>
    <t>EBITDA 
Q1-Q4 2020</t>
  </si>
  <si>
    <t xml:space="preserve">EBIT 
Q1-Q4 2020 </t>
  </si>
  <si>
    <t>Przychody ze sprzedaży 
Q1-Q4 2019 / Sales revenue Q1-Q4 2019</t>
  </si>
  <si>
    <t>EBITDA 
Q1-Q4 2019</t>
  </si>
  <si>
    <t xml:space="preserve">EBIT 
Q1-Q4 2019 </t>
  </si>
  <si>
    <t>Aktywa ogółem na dzień 
31 grudnia 2020 / Total assets as of 31.12.2020</t>
  </si>
  <si>
    <t>Q1-Q4 2020</t>
  </si>
  <si>
    <t xml:space="preserve">Q1-Q4 2019 </t>
  </si>
  <si>
    <t>I kwartał 2021 r. /
Q1 2021</t>
  </si>
  <si>
    <r>
      <t xml:space="preserve">31 grudnia 2020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 / 
31 December 2020 </t>
    </r>
    <r>
      <rPr>
        <i/>
        <sz val="10"/>
        <rFont val="Arial"/>
        <family val="2"/>
        <charset val="238"/>
      </rPr>
      <t>(restated figures)</t>
    </r>
  </si>
  <si>
    <t>Pozostałe całkowite dochody nie podlegające przeklasyfikowaniu w wynik finansowy / Other comprehensive income not to be reclassified in the financial result</t>
  </si>
  <si>
    <t>PV Jaworzno</t>
  </si>
  <si>
    <t>Q1 2021</t>
  </si>
  <si>
    <t>Q4 2021</t>
  </si>
  <si>
    <t>Q3 2021</t>
  </si>
  <si>
    <t xml:space="preserve"> Q2 2021</t>
  </si>
  <si>
    <t xml:space="preserve"> Q1 2021</t>
  </si>
  <si>
    <t>Przychody ze sprzedaży 
Q1 2021 / Sales revenue Q1 2021</t>
  </si>
  <si>
    <t>EBITDA 
Q1 2021</t>
  </si>
  <si>
    <t xml:space="preserve">EBIT 
Q1 2021 </t>
  </si>
  <si>
    <t>Aktywa ogółem na dzień 
31 marca 2021 / Total assets as of 31.03.2021</t>
  </si>
  <si>
    <t>I półrocze 2021 /
H1 2021</t>
  </si>
  <si>
    <t>II kwartał 2021 r. /
Q2 2021</t>
  </si>
  <si>
    <t>H1 2021</t>
  </si>
  <si>
    <t>Q2 2021</t>
  </si>
  <si>
    <t>Przychody ze sprzedaży 
H1 2021 / Sales revenue H1 2021</t>
  </si>
  <si>
    <t>EBITDA 
H1 2021</t>
  </si>
  <si>
    <t xml:space="preserve">EBIT 
H1 2021 </t>
  </si>
  <si>
    <t>Przychody ze sprzedaży 
Q2 2021 / Sales revenue Q1 2021</t>
  </si>
  <si>
    <t>EBITDA 
Q2 2021</t>
  </si>
  <si>
    <t xml:space="preserve">EBIT 
Q2 2021 </t>
  </si>
  <si>
    <t>Aktywa ogółem na dzień 
30 czerwca 2021 / Total assets as of 30.06.2021</t>
  </si>
  <si>
    <t>Przychody ze sprzedaży 
Q2 2020 / Sales revenue Q1 2020</t>
  </si>
  <si>
    <t>Aktywa ogółem na dzień 
30 czerwca 2020 / Total assets as of 30.06.2020</t>
  </si>
  <si>
    <t>Spłata kredytów/pożyczek / Repayment of loans and borrowings</t>
  </si>
  <si>
    <t>III kwartał 2021 r. /
Q3 2021</t>
  </si>
  <si>
    <t>Q1-Q3 2021</t>
  </si>
  <si>
    <t>Przychody ze sprzedaży 
Q3 2021 / Sales revenue Q3 2021</t>
  </si>
  <si>
    <t>EBITDA 
Q3 2021</t>
  </si>
  <si>
    <t xml:space="preserve">EBIT 
Q3 2021 </t>
  </si>
  <si>
    <t>Aktywa ogółem na dzień 
30 września 2021 / Total assets as of 30.09.2021</t>
  </si>
  <si>
    <t>Przychody ze sprzedaży 
Q1-Q3 2021 / Sales revenue Q1-Q3 2021</t>
  </si>
  <si>
    <t>EBITDA 
Q1-Q3 2021</t>
  </si>
  <si>
    <t xml:space="preserve">EBIT 
Q1-Q3 2021 </t>
  </si>
  <si>
    <t>Dane w mln PLN / Figures in PLN million</t>
  </si>
  <si>
    <t>Aktualizacja wartości udzielonych pożyczek / Impairment losses on loans granted</t>
  </si>
  <si>
    <r>
      <t xml:space="preserve">Rok zakończony 31 grudnia 2020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2020 </t>
    </r>
    <r>
      <rPr>
        <i/>
        <sz val="10"/>
        <rFont val="Arial"/>
        <family val="2"/>
        <charset val="238"/>
      </rPr>
      <t>(reststed figures)</t>
    </r>
  </si>
  <si>
    <t>Dane w mln PLN / in PLN million</t>
  </si>
  <si>
    <t>31 grudnia 2021 / 
31 December 2021</t>
  </si>
  <si>
    <t>31 grudnia 2021
/ As at 31 December 2021</t>
  </si>
  <si>
    <t>FY 2021</t>
  </si>
  <si>
    <t>Przychody ze sprzedaży 
FY 2021 / Sales revenue FY 2021</t>
  </si>
  <si>
    <t>EBITDA 
FY 2021</t>
  </si>
  <si>
    <t>Przychody ze sprzedaży 
Q4 2021 / Sales revenue Q4 2021</t>
  </si>
  <si>
    <t>EBITDA 
Q4 2021</t>
  </si>
  <si>
    <t xml:space="preserve">EBIT 
Q4 2021 </t>
  </si>
  <si>
    <t xml:space="preserve">EBIT 
FY 2021 </t>
  </si>
  <si>
    <t>Przychody ze sprzedaży 
FY 2020 / Sales revenue FY 2020</t>
  </si>
  <si>
    <t>EBITDA 
FY 2020</t>
  </si>
  <si>
    <t xml:space="preserve">EBIT 
FY 2020 </t>
  </si>
  <si>
    <t>Aktywa ogółem na dzień 
31 grudnia 2021 / Total assets as of 31.12.2021</t>
  </si>
  <si>
    <t>Dane w mln PLN/ in PLN million</t>
  </si>
  <si>
    <t>Zysk (strata) brutto ze sprzedaży / Profit (loss) on sale</t>
  </si>
  <si>
    <t>Zysk (strata) przed opowdatkowaniem / Profit (loss) before tax</t>
  </si>
  <si>
    <t xml:space="preserve">Zysk (strata) netto  / Net profit (loss) </t>
  </si>
  <si>
    <t>Pozostałe całkowite dochody podlegające przeklasyfikowaniu w wynik finansowy / Other comprehensive income to be reclassified in the financial result</t>
  </si>
  <si>
    <t>Zyski/(straty) aktuarialne / Actuarial gains (losses)</t>
  </si>
  <si>
    <t xml:space="preserve">Łączne całkowite dochody / Total comprehensive income </t>
  </si>
  <si>
    <t>Zysk (strata) netto przypadający: / Net profit (loss):</t>
  </si>
  <si>
    <t>Zysk (strata) na jedną akcję podstawowy i rozwodniony (w złotych) / Basic and diluted earnings per share (in PLN)</t>
  </si>
  <si>
    <t>Instrumenty pochodne /Derivative instruments</t>
  </si>
  <si>
    <t>Zobowiązania z tytułu zadłużenia/ Debt</t>
  </si>
  <si>
    <t>Rezerwy na koszty demontażu środków trwałych i rekultywację terenu oraz pozostałe / Provisions for disassembly of fixed assets, land restoration and other provisions</t>
  </si>
  <si>
    <t>Zobowiązania z tytułu nabycia udziałów niekontrolujących / Liabilities due to the acquisition of non-controlling interests</t>
  </si>
  <si>
    <t>Rezerwy na zobowiązania z tytułu świadectw pochodzenia energii i emisji CO2 / Provisions for liabilities due to energy certificates and CO2 emission allowances</t>
  </si>
  <si>
    <t>Zobowiązanie z tytułu pozostałych podatków i opłat / Liabilities arising from other taxes and charges</t>
  </si>
  <si>
    <t>Zobowiązania związane z aktywami zaklasyfikowanymi jako przeznaczone do sprzedaży/ Liabilities directly related to assets classified as held for sale</t>
  </si>
  <si>
    <t xml:space="preserve">   Udział w (zyskach)/stratach wspólnych przedsięwzięć / Share in (profit)/loss of joint ventures</t>
  </si>
  <si>
    <t xml:space="preserve">   Odpisy aktualizujące wartość niefinansowych aktywów trwałych / Impairment losses on non-financial non-current assets</t>
  </si>
  <si>
    <t xml:space="preserve">   Aktualizacja wartości udzielonych pożyczek</t>
  </si>
  <si>
    <t xml:space="preserve">   Różnice kursowe</t>
  </si>
  <si>
    <t xml:space="preserve">   Spłata zobowiązań leasingowych / Repayment of lease liabilities</t>
  </si>
  <si>
    <t xml:space="preserve">     Spłata zobowiązań leasingowych / Repayment of lease liabilities</t>
  </si>
  <si>
    <t>31 marca 2022
/ As at 31 March 2022</t>
  </si>
  <si>
    <t>Q1 2022</t>
  </si>
  <si>
    <t>Przychody ze sprzedaży 
Q1 2022 / Sales revenue Q1 2022</t>
  </si>
  <si>
    <t>EBITDA 
Q1 2022</t>
  </si>
  <si>
    <t>EBIT 
Q1 2022</t>
  </si>
  <si>
    <t>Aktywa ogółem na dzień 
31 marca 2022 / Total assets as of 31.03.2022</t>
  </si>
  <si>
    <t>I półrocze 2022 /
H1 2022</t>
  </si>
  <si>
    <t>30 czerwca 2022 / 
30 June 2022</t>
  </si>
  <si>
    <t>II kwartał 2022 r. /
Q2 2022</t>
  </si>
  <si>
    <t>30 czerwca 2022
/ As at 30 June 2022</t>
  </si>
  <si>
    <t xml:space="preserve">     Nabycie udziałów niekontrolujących /Acquisition of non-controlling shares </t>
  </si>
  <si>
    <t>H1 2022</t>
  </si>
  <si>
    <t>Q2 2022</t>
  </si>
  <si>
    <t>Q3 2022</t>
  </si>
  <si>
    <t>Q4 2022</t>
  </si>
  <si>
    <t>Przychody ze sprzedaży 
H1 2022 / Sales revenue H1 2022</t>
  </si>
  <si>
    <t>EBITDA 
H1 2022</t>
  </si>
  <si>
    <t>EBIT 
H1 2022</t>
  </si>
  <si>
    <t>Aktywa ogółem na dzień 
30 czerwca 2022 / Total assets as of 30.06.2022</t>
  </si>
  <si>
    <t>EBIT 
H1 2021</t>
  </si>
  <si>
    <t>Przychody ze sprzedaży 
Q2 2022 / Sales revenue Q2 2022</t>
  </si>
  <si>
    <t>EBITDA 
Q2 2022</t>
  </si>
  <si>
    <t>EBIT 
Q2 2022</t>
  </si>
  <si>
    <t>Przychody ze sprzedaży 
Q2 2021 / Sales revenue Q2 2021</t>
  </si>
  <si>
    <t>EBIT 
Q2 2021</t>
  </si>
  <si>
    <t>Jaworzno II i III</t>
  </si>
  <si>
    <t>ZW Tychy (blok biomasowy i kotły węglowe) / ZW Tychy (biomass and fossil unit)</t>
  </si>
  <si>
    <t>Zgodnie z mailem od Spółki moc osiągalna różni się (jest wyższa) od mocy zainstalowanej. Testy wykazały, że moc bloku jest wyższa od zainstalowanej.</t>
  </si>
  <si>
    <t>Rekompensaty / Recompensation revenue</t>
  </si>
  <si>
    <t>Zobowiązania związane z aktywami zaklasyfikowanymi jako przeznaczone do sprzedaży / Liabilities directly related to assets classified as held for sale</t>
  </si>
  <si>
    <t>30 września 2022
/ As at 30 September 2022</t>
  </si>
  <si>
    <t>III kwartał 2022 r. /
Q3 2022</t>
  </si>
  <si>
    <t>Q1-Q3 2022</t>
  </si>
  <si>
    <t>Przychody ze sprzedaży 
Q3 2022 / Sales revenue Q3 2022</t>
  </si>
  <si>
    <t>EBITDA 
Q3 2022</t>
  </si>
  <si>
    <t xml:space="preserve">EBIT 
Q3 2022 </t>
  </si>
  <si>
    <t>Aktywa ogółem na dzień 
30 września 2022 / Total assets as of 30.09.2022</t>
  </si>
  <si>
    <t>Przychody ze sprzedaży 
Q1-Q3 2022 / Sales revenue Q1-Q3 2022</t>
  </si>
  <si>
    <t>EBITDA 
Q1-Q3 2022</t>
  </si>
  <si>
    <t xml:space="preserve">EBIT 
Q1-Q3 2022 </t>
  </si>
  <si>
    <t>Udział w zyskach/ (stratach) wspólnych przedsięwzięć / Share in profit/(loss) of joint ventures</t>
  </si>
  <si>
    <t>Zysk (strata) netto z działalności kontynuowanej /Net profit (loss) on continuing operations</t>
  </si>
  <si>
    <t>Zysk (strata) netto z działalności zaniechanej / Net profit (loss) on discontinued operations</t>
  </si>
  <si>
    <t>Pozostałe całkowite dochody z działalności zaniechanej /Other comprehensive income on discontinued operations</t>
  </si>
  <si>
    <t>Rok zakończony 31 grudnia 2022 r. / 
Year ended 31 December 2022</t>
  </si>
  <si>
    <t>Rok zakończony 31 grudnia 2021 r. (dane przekształcone)/ 
Year ended 31 December 2021 (reststed figures)</t>
  </si>
  <si>
    <r>
      <t xml:space="preserve">Rok zakończony 31 grudnia 2021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2021 </t>
    </r>
    <r>
      <rPr>
        <i/>
        <sz val="10"/>
        <rFont val="Arial"/>
        <family val="2"/>
        <charset val="238"/>
      </rPr>
      <t>(reststed figures)</t>
    </r>
  </si>
  <si>
    <t xml:space="preserve">   Odpis grupy do zbycia z tytułu przeszacowania do wartości godziwej /Write-down of disposable group due to revaluation to fair value</t>
  </si>
  <si>
    <t xml:space="preserve">   Nabycie udziałów niekontrolujących / Purchase of non-controlling shares</t>
  </si>
  <si>
    <t>II półrocze 2022 /
H2 2022</t>
  </si>
  <si>
    <t>II półrocze 2021 (dane przekształcone ) /
H2 2021 (restated figures)</t>
  </si>
  <si>
    <t xml:space="preserve">     Nabycie udziałów niekontrolujących / Purchase of non-controlling shares</t>
  </si>
  <si>
    <t xml:space="preserve">     Pozostałe wydatki/ Other payments</t>
  </si>
  <si>
    <t>IV kwartał 2022 r. /
Q4 2022</t>
  </si>
  <si>
    <t>IV kwartał 2021 r.  (dane przekształcone)/
Q4 2021 (restated figures)</t>
  </si>
  <si>
    <r>
      <t>Świadectwa pochodzenia energii i prawa do emisji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</si>
  <si>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</si>
  <si>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Wpływy z tytułu zaciągnięcia kredytów/ pożyczek / Proceeds from contracted loans and borrowings</t>
  </si>
  <si>
    <t xml:space="preserve">   Aktualizacja wartości udzielonych pożyczek / Impairment losses on loans granted</t>
  </si>
  <si>
    <t xml:space="preserve">   Różnice kursowe /Exchange differences</t>
  </si>
  <si>
    <t xml:space="preserve">   Utrata kontroli nad spółką zależną / Loss of control over a subsidiary</t>
  </si>
  <si>
    <t xml:space="preserve">     Utrata kontroli nad spółką zależną / Loss of control over a subsidiary</t>
  </si>
  <si>
    <t>FY 2022</t>
  </si>
  <si>
    <t>Przychody ze sprzedaży 
Q4 2022 / Sales revenue Q4 2022</t>
  </si>
  <si>
    <t>EBITDA 
Q4 2022</t>
  </si>
  <si>
    <t xml:space="preserve">EBIT 
Q4 2022 </t>
  </si>
  <si>
    <t>Przychody ze sprzedaży 
Q1-Q4 2022 / Sales revenue Q1-Q4 2022</t>
  </si>
  <si>
    <t>EBITDA 
Q1-Q4 2022</t>
  </si>
  <si>
    <t xml:space="preserve">EBIT 
Q1-Q4 2022 </t>
  </si>
  <si>
    <t>Przychody ze sprzedaży 
Q1-Q4 2021 / Sales revenue Q1-Q4 2021</t>
  </si>
  <si>
    <t>EBITDA 
Q1-Q4 2021</t>
  </si>
  <si>
    <t xml:space="preserve">EBIT 
Q1-Q4 2021 </t>
  </si>
  <si>
    <t>Aktywa ogółem na dzień 
31 grudnia2022 / Total assets as of 31.12.2022</t>
  </si>
  <si>
    <t>Farmy fotowoltaiczne/Photovoltaic farms</t>
  </si>
  <si>
    <t>Majewo (oddana do użytkowania 29.09.2022)</t>
  </si>
  <si>
    <t>Q1-Q4 2022</t>
  </si>
  <si>
    <t>Q1-Q4 2021</t>
  </si>
  <si>
    <t>TAURON Inwestycje</t>
  </si>
  <si>
    <t>Nowe Jaworzno</t>
  </si>
  <si>
    <t>Blok 910MW</t>
  </si>
  <si>
    <t>I kwartał 2022 r. (dane przekształcone) /
Q1 2022 (restated figures)</t>
  </si>
  <si>
    <t>31 marca 2023
/ As at 31 March 2023</t>
  </si>
  <si>
    <t>Przychody ze sprzedaży 
Q1 2023 / Sales revenue Q1 2023</t>
  </si>
  <si>
    <t>EBITDA 
Q1 2023</t>
  </si>
  <si>
    <t xml:space="preserve">EBIT 
Q1 2023 </t>
  </si>
  <si>
    <t xml:space="preserve">EBIT 
Q1 2022 </t>
  </si>
  <si>
    <t>Aktywa ogółem na dzień 
31 marca2023 / Total assets as of 31.03.2023</t>
  </si>
  <si>
    <t>Aktywa ogółem na dzień 
31 grudnia 2022 / Total assets as of 31.12.2022</t>
  </si>
  <si>
    <t>Q1 2023</t>
  </si>
  <si>
    <t>Q4 2023</t>
  </si>
  <si>
    <t>Q3 2023</t>
  </si>
  <si>
    <t>Q2 2023</t>
  </si>
  <si>
    <t>Rezerwy na koszty demontażu środków trwałych i rekultywację terenu/ Provisions for disassembly of fixed assets, land restoration</t>
  </si>
  <si>
    <t>30 czerwca 2023 / 
30 June 2023</t>
  </si>
  <si>
    <t>Zysk (strata) przed opodatkowaniem / Profit (loss) before tax</t>
  </si>
  <si>
    <t>II kwartał 2022 r. (dane przekształcone) /
Q2 2022 (restated figures)</t>
  </si>
  <si>
    <t>H1 2023</t>
  </si>
  <si>
    <t>Piotrków</t>
  </si>
  <si>
    <t>Majewo</t>
  </si>
  <si>
    <t>Choszczno</t>
  </si>
  <si>
    <t>Przychody ze sprzedaży 
H1 2023 / Sales revenue H1 2023</t>
  </si>
  <si>
    <t>EBITDA 
H1 2023</t>
  </si>
  <si>
    <t xml:space="preserve">EBIT 
H1 2023 </t>
  </si>
  <si>
    <t xml:space="preserve">EBIT 
H1 2022 </t>
  </si>
  <si>
    <t>Aktywa ogółem na dzień 
30 czerwca2023 / Total assets as of 30.06.2023</t>
  </si>
  <si>
    <t xml:space="preserve">EBIT 
Q2 2022 </t>
  </si>
  <si>
    <t>Przychody ze sprzedaży 
Q2 2023 / Sales revenue Q2 2023</t>
  </si>
  <si>
    <t>EBITDA 
Q2 2023</t>
  </si>
  <si>
    <t xml:space="preserve">EBIT 
Q2 2023 </t>
  </si>
  <si>
    <t>Odpisy aktualizujące wartość niefinansowych aktywów trwałych / Impairment losses on non-financial non-current assets</t>
  </si>
  <si>
    <t>III kwartał 2022 r. (dane przekształcone) /
Q3 2022 (restated figures)</t>
  </si>
  <si>
    <t>30 września 2023
/ As at 30 September 2023</t>
  </si>
  <si>
    <t>Q1-Q3 2023</t>
  </si>
  <si>
    <t>Przychody ze sprzedaży 
Q3 2023 / Sales revenue Q3 2023</t>
  </si>
  <si>
    <t>EBITDA 
Q3 2023</t>
  </si>
  <si>
    <t xml:space="preserve">EBIT 
Q3 2023 </t>
  </si>
  <si>
    <t>Aktywa ogółem na dzień 
30 września2023 / Total assets as of 30.09.2023</t>
  </si>
  <si>
    <t>Przychody ze sprzedaży 
Q1-Q3 2023 / Sales revenue Q1-Q3 2023</t>
  </si>
  <si>
    <t>EBITDA 
Q1-Q3 2023</t>
  </si>
  <si>
    <t xml:space="preserve">EBIT 
Q1-Q3 2023 </t>
  </si>
  <si>
    <t>Udział w pozostałych całkowitych dochodach wspólnych przedsięwzięć/ 'Share in other comprehensive income of joint ventures</t>
  </si>
  <si>
    <t>Zobowiązania inwestycyjne/ Capital commitments</t>
  </si>
  <si>
    <t>Wycena instrumentów pochodnych / Valuation of derivatives</t>
  </si>
  <si>
    <t xml:space="preserve">   Pozostałe / Other</t>
  </si>
  <si>
    <t>I półrocze 2022 (dane przekształcone ) /
H1 2022 (restated figures)</t>
  </si>
  <si>
    <t>PV Mysłowice</t>
  </si>
  <si>
    <t>Silniki gazowe</t>
  </si>
  <si>
    <t>TAURON Nowe Technologie</t>
  </si>
  <si>
    <t>FY 2023</t>
  </si>
  <si>
    <t>Przychody ze sprzedaży 
FY 2023 / Sales revenue FY 2023</t>
  </si>
  <si>
    <t>EBITDA 
FY 2023</t>
  </si>
  <si>
    <t xml:space="preserve">EBIT 
FY 2023 </t>
  </si>
  <si>
    <t>Przychody ze sprzedaży 
FY 2022 / Sales revenue FY 2022</t>
  </si>
  <si>
    <t>EBITDA 
FY 2022</t>
  </si>
  <si>
    <t xml:space="preserve">EBIT 
FY 2022 </t>
  </si>
  <si>
    <t>Aktywa ogółem na dzień 
31 grudnia 2023 / Total assets as of 31.12.2023</t>
  </si>
  <si>
    <t>Przychody ze sprzedaży 
Q4 2023 / Sales revenue Q4 2023</t>
  </si>
  <si>
    <t>EBITDA 
Q4 2023</t>
  </si>
  <si>
    <t xml:space="preserve">EBIT 
Q4 2023 </t>
  </si>
  <si>
    <r>
      <t>Pozostałe całkowite dochody podlegające przeklasyfikowaniu w wynik finansowy /</t>
    </r>
    <r>
      <rPr>
        <b/>
        <sz val="10"/>
        <rFont val="Arial"/>
        <family val="2"/>
        <charset val="238"/>
      </rPr>
      <t xml:space="preserve"> Other comprehensive income to be reclassified in the financial result</t>
    </r>
  </si>
  <si>
    <r>
      <t xml:space="preserve">Pozostałe całkowite dochody nie podlegające przeklasyfikowaniu w wynik finansowy / </t>
    </r>
    <r>
      <rPr>
        <b/>
        <sz val="10"/>
        <rFont val="Arial"/>
        <family val="2"/>
        <charset val="238"/>
      </rPr>
      <t>Other comprehensive income not to be reclassified in the financial result</t>
    </r>
  </si>
  <si>
    <r>
      <t xml:space="preserve">31 grudnia 2023
</t>
    </r>
    <r>
      <rPr>
        <i/>
        <sz val="10"/>
        <rFont val="Arial"/>
        <family val="2"/>
        <charset val="238"/>
      </rPr>
      <t xml:space="preserve">(dane przekształcone) / </t>
    </r>
    <r>
      <rPr>
        <sz val="10"/>
        <rFont val="Arial"/>
        <family val="2"/>
        <charset val="238"/>
      </rPr>
      <t xml:space="preserve">
31 December 2023
</t>
    </r>
    <r>
      <rPr>
        <i/>
        <sz val="10"/>
        <rFont val="Arial"/>
        <family val="2"/>
        <charset val="238"/>
      </rPr>
      <t xml:space="preserve"> (restated figures)</t>
    </r>
  </si>
  <si>
    <t>31 grudnia 2023
(dane przekształcone) / 
31 December 2023
 (restated figures)</t>
  </si>
  <si>
    <t>31 marca 2024
/ As at 31 March 2024</t>
  </si>
  <si>
    <t>Q1 2024</t>
  </si>
  <si>
    <t>Przychody ze sprzedaży 
Q1 2024 / Sales revenue Q1 2024</t>
  </si>
  <si>
    <t>EBITDA 
Q1 2024</t>
  </si>
  <si>
    <t xml:space="preserve">EBIT 
Q1 2024 </t>
  </si>
  <si>
    <t>Aktywa ogółem na dzień 
31 marca2024 / Total assets as of 31.03.2024</t>
  </si>
  <si>
    <t>ZW Cieszyn</t>
  </si>
  <si>
    <t>30 czerwca 2024 / 
30 June 2024</t>
  </si>
  <si>
    <t>I półrocze 2023  (dane przekształcone) /
H1 2023 (restated figures)</t>
  </si>
  <si>
    <t>II kwartał 2023 r. (dane przekształcone)/
Q2 2023 (restated figures)</t>
  </si>
  <si>
    <t>H1 2024</t>
  </si>
  <si>
    <t>Q2 2024</t>
  </si>
  <si>
    <t>Q3 2024</t>
  </si>
  <si>
    <t>Q4 2024</t>
  </si>
  <si>
    <t>Przychody ze sprzedaży 
H1 2024 / Sales revenue H1 2024</t>
  </si>
  <si>
    <t>EBITDA 
H1 2024</t>
  </si>
  <si>
    <t xml:space="preserve">EBIT 
H1 2024 </t>
  </si>
  <si>
    <t>Aktywa ogółem na dzień 
30 czerwca2024 / Total assets as of 30.06.2024</t>
  </si>
  <si>
    <t>Przychody ze sprzedaży 
Q2 2024 / Sales revenue Q2 2024</t>
  </si>
  <si>
    <t>EBITDA 
Q2 2024</t>
  </si>
  <si>
    <t xml:space="preserve">EBIT 
Q2 2024 </t>
  </si>
  <si>
    <t>Zysk brutto ze sprzedaży / Profit on sale</t>
  </si>
  <si>
    <t xml:space="preserve">Zysk operacyjny / Operating profit </t>
  </si>
  <si>
    <t xml:space="preserve">Zysk przed opodatkowaniem / Profit before tax </t>
  </si>
  <si>
    <t xml:space="preserve">Zysk  przed opodatkowaniem / Profit before tax </t>
  </si>
  <si>
    <t>30 września 2024
/ As at 30 September 2024</t>
  </si>
  <si>
    <t>Q1-Q3 2024</t>
  </si>
  <si>
    <t>Przychody ze sprzedaży 
Q3 2024 / Sales revenue Q3 2024</t>
  </si>
  <si>
    <t>EBITDA 
Q3 2024</t>
  </si>
  <si>
    <t xml:space="preserve">EBIT 
Q3 2024 </t>
  </si>
  <si>
    <t>Aktywa ogółem na dzień 
30 września 2024 / Total assets as of 30.09.2024</t>
  </si>
  <si>
    <t>Przychody ze sprzedaży 
Q1-Q3 2024 / Sales revenue Q1-Q3 2024</t>
  </si>
  <si>
    <t>EBITDA 
Q1-Q3 2024</t>
  </si>
  <si>
    <t xml:space="preserve">EBIT 
Q1-Q3 2024 </t>
  </si>
  <si>
    <t>TZE</t>
  </si>
  <si>
    <t>Pozostałe nieprzypisane/Eliminacje</t>
  </si>
  <si>
    <t xml:space="preserve">Zysk netto / Net profit </t>
  </si>
  <si>
    <t>Zysk  netto przypadający: / Net profit :</t>
  </si>
  <si>
    <t>Zysk na jedną akcję podstawowy i rozwodniony (w złotych) / Profit per share basic and diluted (in PLN)</t>
  </si>
  <si>
    <t>Stan na 
31 grudnia 2024
/ As at 
31 December  2024</t>
  </si>
  <si>
    <t>Nabycie rzeczowych aktywów trwałych i aktywów niematerialnych oraz praw do użytkowania aktywów/ Purchase of property, plant and equipment and intangible assets and right-of-use assets</t>
  </si>
  <si>
    <t>Rok zakończony 31 grudnia 2023 r. (dane przekształcone)/ 
Year ended 31 December 2023 (reststed figures)</t>
  </si>
  <si>
    <r>
      <t xml:space="preserve">31 grudnia 2022
</t>
    </r>
    <r>
      <rPr>
        <i/>
        <sz val="10"/>
        <rFont val="Arial"/>
        <family val="2"/>
        <charset val="238"/>
      </rPr>
      <t xml:space="preserve">(dane przekształcone) / </t>
    </r>
    <r>
      <rPr>
        <sz val="10"/>
        <rFont val="Arial"/>
        <family val="2"/>
        <charset val="238"/>
      </rPr>
      <t xml:space="preserve">
31 December 2022
</t>
    </r>
    <r>
      <rPr>
        <i/>
        <sz val="10"/>
        <rFont val="Arial"/>
        <family val="2"/>
        <charset val="238"/>
      </rPr>
      <t xml:space="preserve"> (restated figures)</t>
    </r>
  </si>
  <si>
    <t>II półrocze 2023  (dane przekształcone) /
H2 2023 (restated figures)</t>
  </si>
  <si>
    <t>31 grudnia 2024 / 
31 December 2024</t>
  </si>
  <si>
    <t>31 grudnia 2022
(dane przekształcone) / 
31 December 2022
 (restated figures)</t>
  </si>
  <si>
    <t>IV kwartał 2023 r. (dane przekształcone)/
Q4 2023 (restated figures)</t>
  </si>
  <si>
    <t>Rok zakończony 31 grudnia 2024 r. / 
Year ended 31 December 2024</t>
  </si>
  <si>
    <t>II półrocze 2024 (dane przekształcone)/
H2 2024 (restated figures)</t>
  </si>
  <si>
    <t>I półrocze 2024 (dane przekształcone)/
H1 2024 (restated figures)</t>
  </si>
  <si>
    <t>I półrocze 2023  (dane przekształcone)/
H1 2023 (restated figures)</t>
  </si>
  <si>
    <t>I kwartał 2023 r. (dane przekształcone)/
Q1 2023 (restated figures)</t>
  </si>
  <si>
    <t>III kwartał 2023 r. (dane przekształcone)/
Q3 2023 (restated figures)</t>
  </si>
  <si>
    <t>I kwartał 2024 r. (dane przekształcone)/
Q1 2024 (restated figures)</t>
  </si>
  <si>
    <t>II kwartał 2024 r. (dane przekształcone)/
Q2 2024 (restated figures)</t>
  </si>
  <si>
    <t>III kwartał 2024 r. (dane przekształcone)/
Q3 2024 (restated figures)</t>
  </si>
  <si>
    <t>IV kwartał 2024 r. (dane przekształcone)/
Q4 2024 (restated figures)</t>
  </si>
  <si>
    <t>I półrocze 2024  (dane przekształcone) /
H1 2024 (restated figures)</t>
  </si>
  <si>
    <t>II półrocze 2024  (dane przekształcone) /
H2 2024 (restated figures)</t>
  </si>
  <si>
    <r>
      <t xml:space="preserve">Okres 3 miesięcy zakończony
31 marca 2024 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3-month period ended 
31 March 2024 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</si>
  <si>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3 miesięcy zakończony
31 marca 2024 </t>
    </r>
    <r>
      <rPr>
        <i/>
        <sz val="10"/>
        <rFont val="Arial"/>
        <family val="2"/>
        <charset val="238"/>
      </rPr>
      <t xml:space="preserve">(dane przekształcone niebadane)
</t>
    </r>
    <r>
      <rPr>
        <sz val="10"/>
        <rFont val="Arial"/>
        <family val="2"/>
        <charset val="238"/>
      </rPr>
      <t xml:space="preserve">/ 3-month period ended 
31 March 2024 </t>
    </r>
    <r>
      <rPr>
        <i/>
        <sz val="10"/>
        <rFont val="Arial"/>
        <family val="2"/>
        <charset val="238"/>
      </rPr>
      <t xml:space="preserve">(unaudited restated figures)
</t>
    </r>
  </si>
  <si>
    <t>Zyski aktuarialne / Actuarial profit</t>
  </si>
  <si>
    <t>32.4</t>
  </si>
  <si>
    <t>20.1</t>
  </si>
  <si>
    <t>26.1</t>
  </si>
  <si>
    <t>27</t>
  </si>
  <si>
    <t>20.2</t>
  </si>
  <si>
    <t>26.2</t>
  </si>
  <si>
    <t>32.1</t>
  </si>
  <si>
    <t>32.3</t>
  </si>
  <si>
    <t>32.5</t>
  </si>
  <si>
    <t>32.6</t>
  </si>
  <si>
    <t>24</t>
  </si>
  <si>
    <t>41</t>
  </si>
  <si>
    <r>
      <t xml:space="preserve">Stan na 
31 marca 2025 </t>
    </r>
    <r>
      <rPr>
        <i/>
        <sz val="10"/>
        <rFont val="Arial"/>
        <family val="2"/>
        <charset val="238"/>
      </rPr>
      <t>(niebadane)</t>
    </r>
    <r>
      <rPr>
        <sz val="10"/>
        <rFont val="Arial"/>
        <family val="2"/>
        <charset val="238"/>
      </rPr>
      <t xml:space="preserve">
/ As at 
31 March  2024 </t>
    </r>
    <r>
      <rPr>
        <i/>
        <sz val="10"/>
        <rFont val="Arial"/>
        <family val="2"/>
        <charset val="238"/>
      </rPr>
      <t>(unaudited)</t>
    </r>
  </si>
  <si>
    <t>46.1</t>
  </si>
  <si>
    <t>46.2</t>
  </si>
  <si>
    <t>Wpływy z tytułu zwrotu odsetek / Proceeds due to interest refund</t>
  </si>
  <si>
    <t>46.3</t>
  </si>
  <si>
    <t xml:space="preserve">I kwartał 2025 r. /
Q1 2024 </t>
  </si>
  <si>
    <t>31 marca 2025
/ As at 31 March 2025</t>
  </si>
  <si>
    <r>
      <t xml:space="preserve">Okres 3 miesięcy zakończony
31 marca 2025 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3-month period ended 
31 March 2025 </t>
    </r>
    <r>
      <rPr>
        <i/>
        <sz val="10"/>
        <rFont val="Arial"/>
        <family val="2"/>
        <charset val="238"/>
      </rPr>
      <t xml:space="preserve">(unaudited)
</t>
    </r>
  </si>
  <si>
    <t>Przychody ze sprzedaży 
Q1 2024 / Sales revenue Q1 2024
(dane przekształcone/restated figures)</t>
  </si>
  <si>
    <t>EBITDA 
Q1 2024
(dane przekształcone/restated figures)</t>
  </si>
  <si>
    <t>EBIT 
Q1 2024 
(dane przekształcone/restated figures)</t>
  </si>
  <si>
    <t>EBIT 
Q2 2024 
(dane przekształcone/restated figures)</t>
  </si>
  <si>
    <t>EBITDA 
Q2 2024
(dane przekształcone/restated figures)</t>
  </si>
  <si>
    <t>Przychody ze sprzedaży 
Q2 2024 / Sales revenue Q2 2024
(dane przekształcone/restated figures)</t>
  </si>
  <si>
    <t>Przychody ze sprzedaży 
Q1 2023 / Sales revenue Q1 2023
(dane przekształcone/restated figures)</t>
  </si>
  <si>
    <t>EBITDA 
Q1 2023
(dane przekształcone/restated figures)</t>
  </si>
  <si>
    <t>EBIT 
Q1 2023
(dane przekształcone/restated figures)</t>
  </si>
  <si>
    <t>Przychody ze sprzedaży 
Q2 2023 / Sales revenue Q2 2023
(dane przekształcone/restated figures)</t>
  </si>
  <si>
    <t>EBITDA 
Q2 2023
(dane przekształcone/restated figures)</t>
  </si>
  <si>
    <t>EBIT 
Q2 2023 
(dane przekształcone/restated figures)</t>
  </si>
  <si>
    <t>EBIT 
H1 2023 
(dane przekształcone/restated figures)</t>
  </si>
  <si>
    <t>EBIT 
H1 2024 
(dane przekształcone/restated figures)</t>
  </si>
  <si>
    <t>EBITDA 
H1 2024
(dane przekształcone/restated figures)</t>
  </si>
  <si>
    <t>EBITDA 
H1 2023
(dane przekształcone/restated figures)</t>
  </si>
  <si>
    <t>Przychody ze sprzedaży 
H1 2023 / Sales revenue H1 2023
(dane przekształcone/restated figures)</t>
  </si>
  <si>
    <t>Przychody ze sprzedaży 
H1 2024 / Sales revenue H1 2024
(dane przekształcone/restated figures)</t>
  </si>
  <si>
    <t>EBIT 
Q3 2024 
(dane przekształcone/restated figures)</t>
  </si>
  <si>
    <t>EBIT 
Q3 2023 
(dane przekształcone/restated figures)</t>
  </si>
  <si>
    <t>EBITDA 
Q3 2024
(dane przekształcone/restated figures)</t>
  </si>
  <si>
    <t>EBITDA 
Q3 2023
(dane przekształcone/restated figures)</t>
  </si>
  <si>
    <t>Przychody ze sprzedaży 
Q3 2023 / Sales revenue Q3 2023
(dane przekształcone/restated figures)</t>
  </si>
  <si>
    <t>Przychody ze sprzedaży 
Q3 2024 / Sales revenue Q3 2024
(dane przekształcone/restated figures)</t>
  </si>
  <si>
    <t>EBIT 
Q1-Q3 2024 
(dane przekształcone/restated figures)</t>
  </si>
  <si>
    <t>EBIT 
Q1-Q3 2023 
(dane przekształcone/restated figures)</t>
  </si>
  <si>
    <t>EBITDA 
Q1-Q3 2023
(dane przekształcone/restated figures)</t>
  </si>
  <si>
    <t>Przychody ze sprzedaży 
Q1-Q3 2023 / Sales revenue Q1-Q3 2023
(dane przekształcone/restated figures)</t>
  </si>
  <si>
    <t>Przychody ze sprzedaży 
Q1-Q3 2024 / Sales revenue Q1-Q3 2024
(dane przekształcone/restated figures)</t>
  </si>
  <si>
    <t>EBITDA 
Q1-Q3 2024
(dane przekształcone/restated figures)</t>
  </si>
  <si>
    <t>Q4 2025</t>
  </si>
  <si>
    <t>Q3 2025</t>
  </si>
  <si>
    <t>Q2 2025</t>
  </si>
  <si>
    <t>Q1 2025</t>
  </si>
  <si>
    <t>Przychody ze sprzedaży 
Q1-Q4 2024 / Sales revenue Q1-Q4 2024</t>
  </si>
  <si>
    <t>EBITDA 
Q1-Q4 2024</t>
  </si>
  <si>
    <t xml:space="preserve">EBIT 
Q1-Q4 2024 </t>
  </si>
  <si>
    <t>Przychody ze sprzedaży 
Q4 2024 / Sales revenue Q4 2024</t>
  </si>
  <si>
    <t>EBITDA 
Q4 2024</t>
  </si>
  <si>
    <t xml:space="preserve">EBIT 
Q4 2024 </t>
  </si>
  <si>
    <t>Przychody ze sprzedaży 
Q1-Q4 2023 / Sales revenue Q1-Q4 2023</t>
  </si>
  <si>
    <t>EBITDA 
Q1-Q4 2023</t>
  </si>
  <si>
    <t xml:space="preserve">EBIT 
Q1-Q4 2023 </t>
  </si>
  <si>
    <t>Przychody ze sprzedaży 
Q1 2025 / Sales revenue Q1 2025</t>
  </si>
  <si>
    <t>EBITDA 
Q1 2025</t>
  </si>
  <si>
    <t xml:space="preserve">EBIT 
Q1 2025 </t>
  </si>
  <si>
    <t>Aktywa ogółem na dzień 
31 marca 2025 / Total assets as of 31.03.2025</t>
  </si>
  <si>
    <t>Aktywa ogółem na dzień 
31 grudzień 2024 / Total assets as of 31.12.2024</t>
  </si>
  <si>
    <t>Aktywa ogółem na dzień 
31 grudnia 2024 / Total assets as of 31.12.2024</t>
  </si>
  <si>
    <t>Aktywa ogółem na dzień 
31 marca 2024 / Total assets as of 31.03.2024</t>
  </si>
  <si>
    <t>Aktywa ogółem na dzień 
30 czerwca 2024 / Total assets as of 30.06.2024</t>
  </si>
  <si>
    <t>FY 2024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</si>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</sst>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6" formatCode="#,##0\ &quot;zł&quot;;[Red]\-#,##0\ &quot;zł&quot;"/>
    <numFmt numFmtId="43" formatCode="_-* #,##0.00_-;\-* #,##0.00_-;_-* &quot;-&quot;??_-;_-@_-"/>
    <numFmt numFmtId="164" formatCode="_(* #,##0.00_);_(* \(#,##0.00\);_(* &quot;-&quot;??_);_(@_)"/>
    <numFmt numFmtId="165" formatCode="#,##0_);[Red]\(#,##0\)"/>
    <numFmt numFmtId="166" formatCode="_-* #,##0\ _z_ł_-;\-* #,##0\ _z_ł_-;_-* &quot;-&quot;??\ _z_ł_-;_-@_-"/>
    <numFmt numFmtId="167" formatCode="0.0"/>
    <numFmt numFmtId="168" formatCode="_-* #,##0&quot;   &quot;;[Black]\(#,##0\)&quot;  &quot;;&quot;-   &quot;"/>
    <numFmt numFmtId="169" formatCode="#,##0_);[Black]\(#,##0\)"/>
    <numFmt numFmtId="170" formatCode="_-* #,##0.00&quot;   &quot;;[Red]\(#,##0.00\)&quot;  &quot;;&quot;-   &quot;"/>
    <numFmt numFmtId="171" formatCode="_-* #,##0&quot;   &quot;;[Red]\(#,##0\)&quot;  &quot;;&quot;-   &quot;"/>
    <numFmt numFmtId="172" formatCode="#,##0.00_);[Red]\(#,##0.00\)"/>
    <numFmt numFmtId="173" formatCode="_-* #,##0.0\ _z_ł_-;\-* #,##0.0\ _z_ł_-;_-* &quot;-&quot;??\ _z_ł_-;_-@_-"/>
    <numFmt numFmtId="174" formatCode="_(* #,##0_);_(* \(#,##0\);_(* &quot;-&quot;??_);_(@_)"/>
    <numFmt numFmtId="175" formatCode="_-* #,##0.00\ _z_ł_-;\-* #,##0.00\ _z_ł_-;_-* &quot;-&quot;??\ _z_ł_-;_-@_-"/>
    <numFmt numFmtId="176" formatCode="_-#,##0&quot;   &quot;;\-#,##0&quot;   &quot;;_-&quot;-   &quot;"/>
    <numFmt numFmtId="177" formatCode="0.000"/>
    <numFmt numFmtId="178" formatCode="#,##0.00;[Red]#,##0.00"/>
    <numFmt numFmtId="179" formatCode="#,##0.0"/>
    <numFmt numFmtId="180" formatCode="_-* #,##0.00&quot;   &quot;;[Black]\(#,##0.00\)&quot;  &quot;;&quot;-   &quot;"/>
    <numFmt numFmtId="181" formatCode="#,##0.0000;[Red]#,##0.0000"/>
    <numFmt numFmtId="182" formatCode="_-* #,##0.00\ [$€-1]_-;\-* #,##0.00\ [$€-1]_-;_-* &quot;-&quot;??\ [$€-1]_-"/>
    <numFmt numFmtId="183" formatCode="0%_);\(0%\)"/>
    <numFmt numFmtId="184" formatCode="_(* #,##0_);_(* \(#,##0\);_(* &quot; - &quot;_);_(@_)"/>
    <numFmt numFmtId="185" formatCode="_-* #,##0.00\ &quot;Sk&quot;_-;\-* #,##0.00\ &quot;Sk&quot;_-;_-* &quot;-&quot;??\ &quot;Sk&quot;_-;_-@_-"/>
    <numFmt numFmtId="186" formatCode="General_)"/>
    <numFmt numFmtId="187" formatCode="&quot;L.&quot;\ #,##0;[Red]\-&quot;L.&quot;\ #,##0"/>
  </numFmts>
  <fonts count="1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sz val="16"/>
      <color theme="1" tint="0.49998474074526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2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5"/>
      <color rgb="FFFF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545556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theme="1" tint="0.49998474074526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6"/>
      <color theme="1" tint="0.34998626667073579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sz val="12"/>
      <color theme="1" tint="0.3499862666707357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b/>
      <sz val="11"/>
      <color theme="1" tint="0.34998626667073579"/>
      <name val="Calibri"/>
      <family val="2"/>
      <charset val="238"/>
      <scheme val="minor"/>
    </font>
    <font>
      <b/>
      <sz val="12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B050"/>
      <name val="Arial"/>
      <family val="2"/>
      <charset val="238"/>
    </font>
    <font>
      <sz val="12"/>
      <color rgb="FF00B05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vertAlign val="subscript"/>
      <sz val="9"/>
      <color theme="1"/>
      <name val="Arial"/>
      <family val="2"/>
      <charset val="238"/>
    </font>
    <font>
      <sz val="16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6"/>
      <color rgb="FF4B4B4B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sz val="10"/>
      <color theme="1"/>
      <name val="Arial"/>
      <family val="2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Helv"/>
      <family val="2"/>
    </font>
    <font>
      <sz val="12"/>
      <name val="Tms Rmn"/>
      <family val="2"/>
    </font>
    <font>
      <sz val="9"/>
      <name val="Times New Roman"/>
      <family val="1"/>
    </font>
    <font>
      <sz val="8"/>
      <name val="Swiss"/>
      <family val="2"/>
      <charset val="238"/>
    </font>
    <font>
      <sz val="10"/>
      <name val="MS Sans Serif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6357615894039736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/>
      <top/>
      <bottom style="thin">
        <color rgb="FFFF33CC"/>
      </bottom>
      <diagonal/>
    </border>
    <border>
      <left/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hair">
        <color rgb="FF808080"/>
      </top>
      <bottom style="hair">
        <color rgb="FF808080"/>
      </bottom>
      <diagonal/>
    </border>
    <border>
      <left style="thin">
        <color rgb="FF808080"/>
      </left>
      <right/>
      <top style="hair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rgb="FF808080"/>
      </top>
      <bottom style="hair">
        <color rgb="FF808080"/>
      </bottom>
      <diagonal/>
    </border>
    <border>
      <left/>
      <right style="thin">
        <color rgb="FF808080"/>
      </right>
      <top style="hair">
        <color rgb="FF808080"/>
      </top>
      <bottom style="thin">
        <color rgb="FF808080"/>
      </bottom>
      <diagonal/>
    </border>
    <border>
      <left/>
      <right/>
      <top/>
      <bottom style="thin">
        <color rgb="FFFF66CC"/>
      </bottom>
      <diagonal/>
    </border>
    <border>
      <left/>
      <right/>
      <top/>
      <bottom style="thin">
        <color theme="1" tint="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theme="0" tint="-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rgb="FF949494"/>
      </bottom>
      <diagonal/>
    </border>
    <border>
      <left style="thick">
        <color theme="1" tint="0.34998626667073579"/>
      </left>
      <right style="thick">
        <color theme="1" tint="0.34998626667073579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rgb="FFE2007A"/>
      </bottom>
      <diagonal/>
    </border>
    <border>
      <left style="thick">
        <color auto="1"/>
      </left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rgb="FF949494"/>
      </bottom>
      <diagonal/>
    </border>
    <border>
      <left style="thick">
        <color auto="1"/>
      </left>
      <right style="thick">
        <color auto="1"/>
      </right>
      <top style="thin">
        <color rgb="FFE2007A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rgb="FFE2007A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94">
    <xf numFmtId="0" fontId="0" fillId="0" borderId="0"/>
    <xf numFmtId="164" fontId="1" fillId="0" borderId="0" applyFont="0" applyFill="0" applyBorder="0" applyAlignment="0" applyProtection="0"/>
    <xf numFmtId="0" fontId="60" fillId="11" borderId="0" applyNumberFormat="0" applyBorder="0" applyAlignment="0" applyProtection="0"/>
    <xf numFmtId="0" fontId="76" fillId="0" borderId="0"/>
    <xf numFmtId="176" fontId="47" fillId="13" borderId="0" applyFont="0" applyFill="0" applyBorder="0" applyProtection="0">
      <alignment horizontal="right" vertical="center"/>
    </xf>
    <xf numFmtId="0" fontId="101" fillId="0" borderId="0"/>
    <xf numFmtId="43" fontId="101" fillId="0" borderId="0" applyFont="0" applyFill="0" applyBorder="0" applyAlignment="0" applyProtection="0"/>
    <xf numFmtId="0" fontId="1" fillId="0" borderId="0"/>
    <xf numFmtId="0" fontId="1" fillId="0" borderId="0"/>
    <xf numFmtId="49" fontId="101" fillId="0" borderId="0" applyFont="0" applyFill="0" applyBorder="0" applyAlignment="0" applyProtection="0"/>
    <xf numFmtId="0" fontId="1" fillId="0" borderId="0"/>
    <xf numFmtId="0" fontId="101" fillId="0" borderId="0"/>
    <xf numFmtId="0" fontId="1" fillId="0" borderId="0"/>
    <xf numFmtId="0" fontId="103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8" fillId="19" borderId="63" applyNumberFormat="0" applyAlignment="0" applyProtection="0"/>
    <xf numFmtId="0" fontId="108" fillId="19" borderId="63" applyNumberFormat="0" applyAlignment="0" applyProtection="0"/>
    <xf numFmtId="0" fontId="108" fillId="19" borderId="63" applyNumberFormat="0" applyAlignment="0" applyProtection="0"/>
    <xf numFmtId="0" fontId="108" fillId="19" borderId="63" applyNumberFormat="0" applyAlignment="0" applyProtection="0"/>
    <xf numFmtId="0" fontId="108" fillId="19" borderId="63" applyNumberFormat="0" applyAlignment="0" applyProtection="0"/>
    <xf numFmtId="0" fontId="108" fillId="19" borderId="63" applyNumberFormat="0" applyAlignment="0" applyProtection="0"/>
    <xf numFmtId="0" fontId="108" fillId="19" borderId="63" applyNumberFormat="0" applyAlignment="0" applyProtection="0"/>
    <xf numFmtId="0" fontId="108" fillId="19" borderId="63" applyNumberFormat="0" applyAlignment="0" applyProtection="0"/>
    <xf numFmtId="0" fontId="108" fillId="19" borderId="63" applyNumberFormat="0" applyAlignment="0" applyProtection="0"/>
    <xf numFmtId="0" fontId="109" fillId="32" borderId="64" applyNumberFormat="0" applyAlignment="0" applyProtection="0"/>
    <xf numFmtId="0" fontId="109" fillId="32" borderId="64" applyNumberFormat="0" applyAlignment="0" applyProtection="0"/>
    <xf numFmtId="0" fontId="109" fillId="32" borderId="64" applyNumberFormat="0" applyAlignment="0" applyProtection="0"/>
    <xf numFmtId="0" fontId="109" fillId="32" borderId="64" applyNumberFormat="0" applyAlignment="0" applyProtection="0"/>
    <xf numFmtId="0" fontId="109" fillId="32" borderId="64" applyNumberFormat="0" applyAlignment="0" applyProtection="0"/>
    <xf numFmtId="0" fontId="109" fillId="32" borderId="64" applyNumberFormat="0" applyAlignment="0" applyProtection="0"/>
    <xf numFmtId="0" fontId="109" fillId="32" borderId="64" applyNumberFormat="0" applyAlignment="0" applyProtection="0"/>
    <xf numFmtId="0" fontId="109" fillId="32" borderId="64" applyNumberFormat="0" applyAlignment="0" applyProtection="0"/>
    <xf numFmtId="0" fontId="109" fillId="32" borderId="64" applyNumberFormat="0" applyAlignment="0" applyProtection="0"/>
    <xf numFmtId="49" fontId="102" fillId="0" borderId="65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182" fontId="103" fillId="0" borderId="0" applyFont="0" applyFill="0" applyBorder="0" applyAlignment="0" applyProtection="0"/>
    <xf numFmtId="182" fontId="103" fillId="0" borderId="0" applyFont="0" applyFill="0" applyBorder="0" applyAlignment="0" applyProtection="0"/>
    <xf numFmtId="182" fontId="103" fillId="0" borderId="0" applyFont="0" applyFill="0" applyBorder="0" applyAlignment="0" applyProtection="0"/>
    <xf numFmtId="182" fontId="103" fillId="0" borderId="0" applyFont="0" applyFill="0" applyBorder="0" applyAlignment="0" applyProtection="0"/>
    <xf numFmtId="182" fontId="103" fillId="0" borderId="0" applyFont="0" applyFill="0" applyBorder="0" applyAlignment="0" applyProtection="0"/>
    <xf numFmtId="182" fontId="103" fillId="0" borderId="0" applyFont="0" applyFill="0" applyBorder="0" applyAlignment="0" applyProtection="0"/>
    <xf numFmtId="182" fontId="103" fillId="0" borderId="0" applyFont="0" applyFill="0" applyBorder="0" applyAlignment="0" applyProtection="0"/>
    <xf numFmtId="182" fontId="103" fillId="0" borderId="0" applyFont="0" applyFill="0" applyBorder="0" applyAlignment="0" applyProtection="0"/>
    <xf numFmtId="182" fontId="103" fillId="0" borderId="0" applyFont="0" applyFill="0" applyBorder="0" applyAlignment="0" applyProtection="0"/>
    <xf numFmtId="182" fontId="103" fillId="0" borderId="0" applyFont="0" applyFill="0" applyBorder="0" applyAlignment="0" applyProtection="0"/>
    <xf numFmtId="184" fontId="125" fillId="0" borderId="0" applyFill="0" applyBorder="0">
      <alignment horizontal="right" vertical="top"/>
    </xf>
    <xf numFmtId="14" fontId="105" fillId="18" borderId="66">
      <alignment horizontal="center" vertical="center" wrapText="1"/>
    </xf>
    <xf numFmtId="0" fontId="111" fillId="0" borderId="67" applyNumberFormat="0" applyFill="0" applyAlignment="0" applyProtection="0"/>
    <xf numFmtId="0" fontId="111" fillId="0" borderId="67" applyNumberFormat="0" applyFill="0" applyAlignment="0" applyProtection="0"/>
    <xf numFmtId="0" fontId="111" fillId="0" borderId="67" applyNumberFormat="0" applyFill="0" applyAlignment="0" applyProtection="0"/>
    <xf numFmtId="0" fontId="111" fillId="0" borderId="67" applyNumberFormat="0" applyFill="0" applyAlignment="0" applyProtection="0"/>
    <xf numFmtId="0" fontId="111" fillId="0" borderId="67" applyNumberFormat="0" applyFill="0" applyAlignment="0" applyProtection="0"/>
    <xf numFmtId="0" fontId="111" fillId="0" borderId="67" applyNumberFormat="0" applyFill="0" applyAlignment="0" applyProtection="0"/>
    <xf numFmtId="0" fontId="111" fillId="0" borderId="67" applyNumberFormat="0" applyFill="0" applyAlignment="0" applyProtection="0"/>
    <xf numFmtId="0" fontId="111" fillId="0" borderId="67" applyNumberFormat="0" applyFill="0" applyAlignment="0" applyProtection="0"/>
    <xf numFmtId="0" fontId="111" fillId="0" borderId="67" applyNumberFormat="0" applyFill="0" applyAlignment="0" applyProtection="0"/>
    <xf numFmtId="0" fontId="112" fillId="33" borderId="68" applyNumberFormat="0" applyAlignment="0" applyProtection="0"/>
    <xf numFmtId="0" fontId="112" fillId="33" borderId="68" applyNumberFormat="0" applyAlignment="0" applyProtection="0"/>
    <xf numFmtId="0" fontId="112" fillId="33" borderId="68" applyNumberFormat="0" applyAlignment="0" applyProtection="0"/>
    <xf numFmtId="0" fontId="112" fillId="33" borderId="68" applyNumberFormat="0" applyAlignment="0" applyProtection="0"/>
    <xf numFmtId="0" fontId="112" fillId="33" borderId="68" applyNumberFormat="0" applyAlignment="0" applyProtection="0"/>
    <xf numFmtId="0" fontId="112" fillId="33" borderId="68" applyNumberFormat="0" applyAlignment="0" applyProtection="0"/>
    <xf numFmtId="0" fontId="112" fillId="33" borderId="68" applyNumberFormat="0" applyAlignment="0" applyProtection="0"/>
    <xf numFmtId="0" fontId="112" fillId="33" borderId="68" applyNumberFormat="0" applyAlignment="0" applyProtection="0"/>
    <xf numFmtId="0" fontId="112" fillId="33" borderId="68" applyNumberFormat="0" applyAlignment="0" applyProtection="0"/>
    <xf numFmtId="185" fontId="103" fillId="0" borderId="0" applyFont="0" applyFill="0" applyBorder="0" applyAlignment="0" applyProtection="0"/>
    <xf numFmtId="186" fontId="126" fillId="0" borderId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0" fontId="113" fillId="0" borderId="69" applyNumberFormat="0" applyFill="0" applyAlignment="0" applyProtection="0"/>
    <xf numFmtId="0" fontId="113" fillId="0" borderId="69" applyNumberFormat="0" applyFill="0" applyAlignment="0" applyProtection="0"/>
    <xf numFmtId="0" fontId="113" fillId="0" borderId="69" applyNumberFormat="0" applyFill="0" applyAlignment="0" applyProtection="0"/>
    <xf numFmtId="0" fontId="113" fillId="0" borderId="69" applyNumberFormat="0" applyFill="0" applyAlignment="0" applyProtection="0"/>
    <xf numFmtId="0" fontId="113" fillId="0" borderId="69" applyNumberFormat="0" applyFill="0" applyAlignment="0" applyProtection="0"/>
    <xf numFmtId="0" fontId="113" fillId="0" borderId="69" applyNumberFormat="0" applyFill="0" applyAlignment="0" applyProtection="0"/>
    <xf numFmtId="0" fontId="113" fillId="0" borderId="69" applyNumberFormat="0" applyFill="0" applyAlignment="0" applyProtection="0"/>
    <xf numFmtId="0" fontId="113" fillId="0" borderId="69" applyNumberFormat="0" applyFill="0" applyAlignment="0" applyProtection="0"/>
    <xf numFmtId="0" fontId="113" fillId="0" borderId="69" applyNumberFormat="0" applyFill="0" applyAlignment="0" applyProtection="0"/>
    <xf numFmtId="0" fontId="113" fillId="0" borderId="69" applyNumberFormat="0" applyFill="0" applyAlignment="0" applyProtection="0"/>
    <xf numFmtId="0" fontId="114" fillId="0" borderId="70" applyNumberFormat="0" applyFill="0" applyAlignment="0" applyProtection="0"/>
    <xf numFmtId="0" fontId="114" fillId="0" borderId="70" applyNumberFormat="0" applyFill="0" applyAlignment="0" applyProtection="0"/>
    <xf numFmtId="0" fontId="114" fillId="0" borderId="70" applyNumberFormat="0" applyFill="0" applyAlignment="0" applyProtection="0"/>
    <xf numFmtId="0" fontId="114" fillId="0" borderId="70" applyNumberFormat="0" applyFill="0" applyAlignment="0" applyProtection="0"/>
    <xf numFmtId="0" fontId="114" fillId="0" borderId="70" applyNumberFormat="0" applyFill="0" applyAlignment="0" applyProtection="0"/>
    <xf numFmtId="0" fontId="114" fillId="0" borderId="70" applyNumberFormat="0" applyFill="0" applyAlignment="0" applyProtection="0"/>
    <xf numFmtId="0" fontId="114" fillId="0" borderId="70" applyNumberFormat="0" applyFill="0" applyAlignment="0" applyProtection="0"/>
    <xf numFmtId="0" fontId="114" fillId="0" borderId="70" applyNumberFormat="0" applyFill="0" applyAlignment="0" applyProtection="0"/>
    <xf numFmtId="0" fontId="114" fillId="0" borderId="70" applyNumberFormat="0" applyFill="0" applyAlignment="0" applyProtection="0"/>
    <xf numFmtId="0" fontId="114" fillId="0" borderId="70" applyNumberFormat="0" applyFill="0" applyAlignment="0" applyProtection="0"/>
    <xf numFmtId="0" fontId="115" fillId="0" borderId="71" applyNumberFormat="0" applyFill="0" applyAlignment="0" applyProtection="0"/>
    <xf numFmtId="0" fontId="115" fillId="0" borderId="71" applyNumberFormat="0" applyFill="0" applyAlignment="0" applyProtection="0"/>
    <xf numFmtId="0" fontId="115" fillId="0" borderId="71" applyNumberFormat="0" applyFill="0" applyAlignment="0" applyProtection="0"/>
    <xf numFmtId="0" fontId="115" fillId="0" borderId="71" applyNumberFormat="0" applyFill="0" applyAlignment="0" applyProtection="0"/>
    <xf numFmtId="0" fontId="115" fillId="0" borderId="71" applyNumberFormat="0" applyFill="0" applyAlignment="0" applyProtection="0"/>
    <xf numFmtId="0" fontId="115" fillId="0" borderId="71" applyNumberFormat="0" applyFill="0" applyAlignment="0" applyProtection="0"/>
    <xf numFmtId="0" fontId="115" fillId="0" borderId="71" applyNumberFormat="0" applyFill="0" applyAlignment="0" applyProtection="0"/>
    <xf numFmtId="0" fontId="115" fillId="0" borderId="71" applyNumberFormat="0" applyFill="0" applyAlignment="0" applyProtection="0"/>
    <xf numFmtId="0" fontId="115" fillId="0" borderId="71" applyNumberFormat="0" applyFill="0" applyAlignment="0" applyProtection="0"/>
    <xf numFmtId="0" fontId="115" fillId="0" borderId="71" applyNumberFormat="0" applyFill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03" fillId="0" borderId="0"/>
    <xf numFmtId="0" fontId="10" fillId="0" borderId="0"/>
    <xf numFmtId="0" fontId="117" fillId="32" borderId="63" applyNumberFormat="0" applyAlignment="0" applyProtection="0"/>
    <xf numFmtId="0" fontId="117" fillId="32" borderId="63" applyNumberFormat="0" applyAlignment="0" applyProtection="0"/>
    <xf numFmtId="0" fontId="117" fillId="32" borderId="63" applyNumberFormat="0" applyAlignment="0" applyProtection="0"/>
    <xf numFmtId="0" fontId="117" fillId="32" borderId="63" applyNumberFormat="0" applyAlignment="0" applyProtection="0"/>
    <xf numFmtId="0" fontId="117" fillId="32" borderId="63" applyNumberFormat="0" applyAlignment="0" applyProtection="0"/>
    <xf numFmtId="0" fontId="117" fillId="32" borderId="63" applyNumberFormat="0" applyAlignment="0" applyProtection="0"/>
    <xf numFmtId="0" fontId="117" fillId="32" borderId="63" applyNumberFormat="0" applyAlignment="0" applyProtection="0"/>
    <xf numFmtId="0" fontId="117" fillId="32" borderId="63" applyNumberFormat="0" applyAlignment="0" applyProtection="0"/>
    <xf numFmtId="0" fontId="117" fillId="32" borderId="63" applyNumberFormat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38" fontId="103" fillId="0" borderId="0" applyFont="0" applyFill="0" applyBorder="0" applyAlignment="0" applyProtection="0"/>
    <xf numFmtId="0" fontId="123" fillId="0" borderId="0"/>
    <xf numFmtId="0" fontId="118" fillId="0" borderId="72" applyNumberFormat="0" applyFill="0" applyAlignment="0" applyProtection="0"/>
    <xf numFmtId="0" fontId="118" fillId="0" borderId="72" applyNumberFormat="0" applyFill="0" applyAlignment="0" applyProtection="0"/>
    <xf numFmtId="0" fontId="118" fillId="0" borderId="72" applyNumberFormat="0" applyFill="0" applyAlignment="0" applyProtection="0"/>
    <xf numFmtId="0" fontId="118" fillId="0" borderId="72" applyNumberFormat="0" applyFill="0" applyAlignment="0" applyProtection="0"/>
    <xf numFmtId="0" fontId="118" fillId="0" borderId="72" applyNumberFormat="0" applyFill="0" applyAlignment="0" applyProtection="0"/>
    <xf numFmtId="0" fontId="118" fillId="0" borderId="72" applyNumberFormat="0" applyFill="0" applyAlignment="0" applyProtection="0"/>
    <xf numFmtId="0" fontId="118" fillId="0" borderId="72" applyNumberFormat="0" applyFill="0" applyAlignment="0" applyProtection="0"/>
    <xf numFmtId="0" fontId="118" fillId="0" borderId="72" applyNumberFormat="0" applyFill="0" applyAlignment="0" applyProtection="0"/>
    <xf numFmtId="0" fontId="118" fillId="0" borderId="72" applyNumberFormat="0" applyFill="0" applyAlignment="0" applyProtection="0"/>
    <xf numFmtId="0" fontId="118" fillId="0" borderId="72" applyNumberFormat="0" applyFill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06" fillId="0" borderId="0" applyFill="0" applyBorder="0" applyProtection="0">
      <alignment horizontal="left" vertical="top"/>
    </xf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03" fillId="35" borderId="73" applyNumberFormat="0" applyFont="0" applyAlignment="0" applyProtection="0"/>
    <xf numFmtId="0" fontId="103" fillId="35" borderId="73" applyNumberFormat="0" applyFont="0" applyAlignment="0" applyProtection="0"/>
    <xf numFmtId="0" fontId="103" fillId="35" borderId="73" applyNumberFormat="0" applyFont="0" applyAlignment="0" applyProtection="0"/>
    <xf numFmtId="0" fontId="103" fillId="35" borderId="73" applyNumberFormat="0" applyFont="0" applyAlignment="0" applyProtection="0"/>
    <xf numFmtId="0" fontId="103" fillId="35" borderId="73" applyNumberFormat="0" applyFont="0" applyAlignment="0" applyProtection="0"/>
    <xf numFmtId="0" fontId="103" fillId="35" borderId="73" applyNumberFormat="0" applyFont="0" applyAlignment="0" applyProtection="0"/>
    <xf numFmtId="0" fontId="103" fillId="35" borderId="73" applyNumberFormat="0" applyFont="0" applyAlignment="0" applyProtection="0"/>
    <xf numFmtId="0" fontId="103" fillId="35" borderId="73" applyNumberFormat="0" applyFont="0" applyAlignment="0" applyProtection="0"/>
    <xf numFmtId="0" fontId="103" fillId="35" borderId="73" applyNumberFormat="0" applyFont="0" applyAlignment="0" applyProtection="0"/>
    <xf numFmtId="186" fontId="126" fillId="0" borderId="0"/>
    <xf numFmtId="187" fontId="127" fillId="0" borderId="0" applyFont="0" applyFill="0" applyBorder="0" applyAlignment="0" applyProtection="0"/>
    <xf numFmtId="187" fontId="127" fillId="0" borderId="0" applyFont="0" applyFill="0" applyBorder="0" applyAlignment="0" applyProtection="0"/>
    <xf numFmtId="187" fontId="127" fillId="0" borderId="0" applyFont="0" applyFill="0" applyBorder="0" applyAlignment="0" applyProtection="0"/>
    <xf numFmtId="187" fontId="127" fillId="0" borderId="0" applyFont="0" applyFill="0" applyBorder="0" applyAlignment="0" applyProtection="0"/>
    <xf numFmtId="187" fontId="127" fillId="0" borderId="0" applyFont="0" applyFill="0" applyBorder="0" applyAlignment="0" applyProtection="0"/>
    <xf numFmtId="187" fontId="127" fillId="0" borderId="0" applyFont="0" applyFill="0" applyBorder="0" applyAlignment="0" applyProtection="0"/>
    <xf numFmtId="6" fontId="103" fillId="0" borderId="0" applyFont="0" applyFill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03" fillId="0" borderId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7" fillId="27" borderId="0" applyNumberFormat="0" applyBorder="0" applyAlignment="0" applyProtection="0"/>
    <xf numFmtId="0" fontId="107" fillId="26" borderId="0" applyNumberFormat="0" applyBorder="0" applyAlignment="0" applyProtection="0"/>
    <xf numFmtId="0" fontId="107" fillId="25" borderId="0" applyNumberFormat="0" applyBorder="0" applyAlignment="0" applyProtection="0"/>
    <xf numFmtId="0" fontId="107" fillId="22" borderId="0" applyNumberFormat="0" applyBorder="0" applyAlignment="0" applyProtection="0"/>
    <xf numFmtId="0" fontId="107" fillId="21" borderId="0" applyNumberFormat="0" applyBorder="0" applyAlignment="0" applyProtection="0"/>
    <xf numFmtId="0" fontId="104" fillId="21" borderId="0" applyNumberFormat="0" applyBorder="0" applyAlignment="0" applyProtection="0"/>
    <xf numFmtId="0" fontId="107" fillId="24" borderId="0" applyNumberFormat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17" borderId="0" applyNumberFormat="0" applyBorder="0" applyAlignment="0" applyProtection="0"/>
    <xf numFmtId="0" fontId="104" fillId="23" borderId="0" applyNumberFormat="0" applyBorder="0" applyAlignment="0" applyProtection="0"/>
    <xf numFmtId="0" fontId="104" fillId="22" borderId="0" applyNumberFormat="0" applyBorder="0" applyAlignment="0" applyProtection="0"/>
    <xf numFmtId="0" fontId="107" fillId="24" borderId="0" applyNumberFormat="0" applyBorder="0" applyAlignment="0" applyProtection="0"/>
    <xf numFmtId="0" fontId="107" fillId="21" borderId="0" applyNumberFormat="0" applyBorder="0" applyAlignment="0" applyProtection="0"/>
    <xf numFmtId="0" fontId="104" fillId="21" borderId="0" applyNumberFormat="0" applyBorder="0" applyAlignment="0" applyProtection="0"/>
    <xf numFmtId="0" fontId="107" fillId="22" borderId="0" applyNumberFormat="0" applyBorder="0" applyAlignment="0" applyProtection="0"/>
    <xf numFmtId="0" fontId="107" fillId="25" borderId="0" applyNumberFormat="0" applyBorder="0" applyAlignment="0" applyProtection="0"/>
    <xf numFmtId="0" fontId="107" fillId="26" borderId="0" applyNumberFormat="0" applyBorder="0" applyAlignment="0" applyProtection="0"/>
    <xf numFmtId="0" fontId="107" fillId="27" borderId="0" applyNumberFormat="0" applyBorder="0" applyAlignment="0" applyProtection="0"/>
    <xf numFmtId="0" fontId="104" fillId="20" borderId="0" applyNumberFormat="0" applyBorder="0" applyAlignment="0" applyProtection="0"/>
    <xf numFmtId="0" fontId="104" fillId="19" borderId="0" applyNumberFormat="0" applyBorder="0" applyAlignment="0" applyProtection="0"/>
    <xf numFmtId="0" fontId="104" fillId="18" borderId="0" applyNumberFormat="0" applyBorder="0" applyAlignment="0" applyProtection="0"/>
    <xf numFmtId="0" fontId="104" fillId="17" borderId="0" applyNumberFormat="0" applyBorder="0" applyAlignment="0" applyProtection="0"/>
    <xf numFmtId="0" fontId="104" fillId="15" borderId="0" applyNumberFormat="0" applyBorder="0" applyAlignment="0" applyProtection="0"/>
    <xf numFmtId="0" fontId="104" fillId="14" borderId="0" applyNumberFormat="0" applyBorder="0" applyAlignment="0" applyProtection="0"/>
    <xf numFmtId="0" fontId="104" fillId="1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01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2" borderId="1" xfId="0" applyFont="1" applyFill="1" applyBorder="1"/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/>
    <xf numFmtId="4" fontId="4" fillId="2" borderId="0" xfId="0" applyNumberFormat="1" applyFont="1" applyFill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6" fontId="9" fillId="2" borderId="3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1" fillId="2" borderId="4" xfId="0" applyFont="1" applyFill="1" applyBorder="1"/>
    <xf numFmtId="0" fontId="4" fillId="2" borderId="4" xfId="0" applyFont="1" applyFill="1" applyBorder="1" applyAlignment="1">
      <alignment horizontal="left" indent="1"/>
    </xf>
    <xf numFmtId="166" fontId="9" fillId="2" borderId="0" xfId="1" applyNumberFormat="1" applyFont="1" applyFill="1" applyBorder="1" applyAlignment="1">
      <alignment horizontal="right" vertical="center"/>
    </xf>
    <xf numFmtId="0" fontId="5" fillId="2" borderId="3" xfId="0" applyFont="1" applyFill="1" applyBorder="1"/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6" fontId="12" fillId="2" borderId="3" xfId="1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5" fillId="2" borderId="0" xfId="0" applyFont="1" applyFill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6" fontId="16" fillId="3" borderId="0" xfId="0" applyNumberFormat="1" applyFont="1" applyFill="1" applyAlignment="1">
      <alignment horizontal="right" vertical="center"/>
    </xf>
    <xf numFmtId="0" fontId="18" fillId="2" borderId="0" xfId="0" applyFont="1" applyFill="1"/>
    <xf numFmtId="166" fontId="18" fillId="2" borderId="0" xfId="1" applyNumberFormat="1" applyFont="1" applyFill="1" applyBorder="1" applyAlignment="1">
      <alignment horizontal="right" vertical="center"/>
    </xf>
    <xf numFmtId="166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6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6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66" fontId="5" fillId="2" borderId="5" xfId="1" applyNumberFormat="1" applyFont="1" applyFill="1" applyBorder="1" applyAlignment="1">
      <alignment horizontal="right" vertical="center"/>
    </xf>
    <xf numFmtId="166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6" fontId="10" fillId="2" borderId="5" xfId="1" applyNumberFormat="1" applyFont="1" applyFill="1" applyBorder="1" applyAlignment="1">
      <alignment horizontal="right" vertical="center"/>
    </xf>
    <xf numFmtId="166" fontId="20" fillId="3" borderId="0" xfId="0" applyNumberFormat="1" applyFont="1" applyFill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5" fontId="4" fillId="2" borderId="0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/>
    <xf numFmtId="0" fontId="23" fillId="2" borderId="0" xfId="0" applyFont="1" applyFill="1"/>
    <xf numFmtId="0" fontId="10" fillId="2" borderId="6" xfId="0" quotePrefix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25" fillId="2" borderId="0" xfId="0" applyFont="1" applyFill="1"/>
    <xf numFmtId="0" fontId="26" fillId="2" borderId="1" xfId="0" applyFont="1" applyFill="1" applyBorder="1" applyAlignment="1">
      <alignment horizontal="left" vertical="center" indent="1"/>
    </xf>
    <xf numFmtId="0" fontId="28" fillId="2" borderId="0" xfId="0" applyFont="1" applyFill="1"/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165" fontId="10" fillId="2" borderId="0" xfId="0" applyNumberFormat="1" applyFont="1" applyFill="1"/>
    <xf numFmtId="0" fontId="9" fillId="2" borderId="0" xfId="0" applyFont="1" applyFill="1" applyAlignment="1">
      <alignment vertical="center" wrapText="1"/>
    </xf>
    <xf numFmtId="169" fontId="10" fillId="2" borderId="0" xfId="0" applyNumberFormat="1" applyFont="1" applyFill="1"/>
    <xf numFmtId="165" fontId="9" fillId="2" borderId="0" xfId="0" applyNumberFormat="1" applyFont="1" applyFill="1"/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4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/>
    <xf numFmtId="0" fontId="10" fillId="2" borderId="8" xfId="0" applyFont="1" applyFill="1" applyBorder="1"/>
    <xf numFmtId="165" fontId="10" fillId="2" borderId="8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indent="1"/>
    </xf>
    <xf numFmtId="0" fontId="27" fillId="2" borderId="0" xfId="0" applyFont="1" applyFill="1" applyAlignment="1">
      <alignment vertical="center"/>
    </xf>
    <xf numFmtId="0" fontId="27" fillId="4" borderId="0" xfId="0" applyFont="1" applyFill="1" applyAlignment="1">
      <alignment horizontal="left" vertical="center" indent="1"/>
    </xf>
    <xf numFmtId="0" fontId="10" fillId="2" borderId="6" xfId="0" applyFont="1" applyFill="1" applyBorder="1"/>
    <xf numFmtId="3" fontId="10" fillId="2" borderId="0" xfId="0" applyNumberFormat="1" applyFont="1" applyFill="1"/>
    <xf numFmtId="165" fontId="28" fillId="2" borderId="0" xfId="0" applyNumberFormat="1" applyFont="1" applyFill="1"/>
    <xf numFmtId="3" fontId="10" fillId="2" borderId="8" xfId="0" applyNumberFormat="1" applyFont="1" applyFill="1" applyBorder="1"/>
    <xf numFmtId="165" fontId="10" fillId="2" borderId="10" xfId="0" applyNumberFormat="1" applyFont="1" applyFill="1" applyBorder="1"/>
    <xf numFmtId="165" fontId="10" fillId="2" borderId="4" xfId="0" applyNumberFormat="1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left" indent="1"/>
    </xf>
    <xf numFmtId="165" fontId="10" fillId="2" borderId="5" xfId="0" applyNumberFormat="1" applyFont="1" applyFill="1" applyBorder="1" applyAlignment="1">
      <alignment horizontal="right"/>
    </xf>
    <xf numFmtId="170" fontId="10" fillId="2" borderId="8" xfId="0" applyNumberFormat="1" applyFont="1" applyFill="1" applyBorder="1"/>
    <xf numFmtId="0" fontId="10" fillId="2" borderId="11" xfId="0" applyFont="1" applyFill="1" applyBorder="1"/>
    <xf numFmtId="165" fontId="9" fillId="2" borderId="5" xfId="0" applyNumberFormat="1" applyFont="1" applyFill="1" applyBorder="1"/>
    <xf numFmtId="165" fontId="10" fillId="2" borderId="5" xfId="0" applyNumberFormat="1" applyFont="1" applyFill="1" applyBorder="1"/>
    <xf numFmtId="0" fontId="28" fillId="2" borderId="5" xfId="0" applyFont="1" applyFill="1" applyBorder="1"/>
    <xf numFmtId="0" fontId="27" fillId="2" borderId="1" xfId="0" applyFont="1" applyFill="1" applyBorder="1" applyAlignment="1">
      <alignment vertical="center"/>
    </xf>
    <xf numFmtId="171" fontId="28" fillId="2" borderId="0" xfId="0" applyNumberFormat="1" applyFont="1" applyFill="1"/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28" fillId="0" borderId="0" xfId="0" applyFont="1"/>
    <xf numFmtId="171" fontId="10" fillId="2" borderId="10" xfId="0" applyNumberFormat="1" applyFont="1" applyFill="1" applyBorder="1" applyAlignment="1" applyProtection="1">
      <alignment horizontal="right" vertical="center"/>
      <protection locked="0"/>
    </xf>
    <xf numFmtId="170" fontId="10" fillId="2" borderId="8" xfId="0" applyNumberFormat="1" applyFont="1" applyFill="1" applyBorder="1" applyAlignment="1" applyProtection="1">
      <alignment horizontal="right" vertical="center"/>
      <protection locked="0"/>
    </xf>
    <xf numFmtId="0" fontId="31" fillId="2" borderId="0" xfId="0" applyFont="1" applyFill="1"/>
    <xf numFmtId="0" fontId="31" fillId="4" borderId="1" xfId="0" applyFont="1" applyFill="1" applyBorder="1"/>
    <xf numFmtId="171" fontId="10" fillId="2" borderId="8" xfId="0" applyNumberFormat="1" applyFont="1" applyFill="1" applyBorder="1" applyAlignment="1" applyProtection="1">
      <alignment horizontal="right" vertical="center"/>
      <protection locked="0"/>
    </xf>
    <xf numFmtId="171" fontId="10" fillId="2" borderId="12" xfId="0" applyNumberFormat="1" applyFont="1" applyFill="1" applyBorder="1" applyAlignment="1" applyProtection="1">
      <alignment horizontal="right" vertical="center"/>
      <protection locked="0"/>
    </xf>
    <xf numFmtId="171" fontId="15" fillId="2" borderId="0" xfId="0" applyNumberFormat="1" applyFont="1" applyFill="1"/>
    <xf numFmtId="171" fontId="15" fillId="2" borderId="8" xfId="0" applyNumberFormat="1" applyFont="1" applyFill="1" applyBorder="1"/>
    <xf numFmtId="171" fontId="10" fillId="2" borderId="13" xfId="0" applyNumberFormat="1" applyFont="1" applyFill="1" applyBorder="1" applyAlignment="1" applyProtection="1">
      <alignment horizontal="right" vertical="center"/>
      <protection locked="0"/>
    </xf>
    <xf numFmtId="165" fontId="31" fillId="2" borderId="0" xfId="0" applyNumberFormat="1" applyFont="1" applyFill="1"/>
    <xf numFmtId="0" fontId="10" fillId="0" borderId="0" xfId="0" applyFont="1"/>
    <xf numFmtId="165" fontId="10" fillId="2" borderId="5" xfId="0" applyNumberFormat="1" applyFont="1" applyFill="1" applyBorder="1" applyAlignment="1">
      <alignment horizontal="right" vertical="top"/>
    </xf>
    <xf numFmtId="172" fontId="10" fillId="2" borderId="8" xfId="0" applyNumberFormat="1" applyFont="1" applyFill="1" applyBorder="1" applyAlignment="1">
      <alignment horizontal="right" vertical="top"/>
    </xf>
    <xf numFmtId="170" fontId="28" fillId="2" borderId="0" xfId="0" applyNumberFormat="1" applyFont="1" applyFill="1"/>
    <xf numFmtId="0" fontId="2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 wrapText="1"/>
    </xf>
    <xf numFmtId="0" fontId="33" fillId="2" borderId="0" xfId="0" quotePrefix="1" applyFont="1" applyFill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6" borderId="0" xfId="0" applyFont="1" applyFill="1"/>
    <xf numFmtId="0" fontId="28" fillId="7" borderId="0" xfId="0" applyFont="1" applyFill="1"/>
    <xf numFmtId="0" fontId="28" fillId="2" borderId="4" xfId="0" applyFont="1" applyFill="1" applyBorder="1"/>
    <xf numFmtId="165" fontId="34" fillId="2" borderId="0" xfId="0" applyNumberFormat="1" applyFont="1" applyFill="1"/>
    <xf numFmtId="165" fontId="28" fillId="2" borderId="5" xfId="0" applyNumberFormat="1" applyFont="1" applyFill="1" applyBorder="1"/>
    <xf numFmtId="165" fontId="9" fillId="2" borderId="4" xfId="0" applyNumberFormat="1" applyFont="1" applyFill="1" applyBorder="1"/>
    <xf numFmtId="0" fontId="5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center" vertical="center" wrapText="1"/>
    </xf>
    <xf numFmtId="4" fontId="38" fillId="2" borderId="4" xfId="0" applyNumberFormat="1" applyFont="1" applyFill="1" applyBorder="1"/>
    <xf numFmtId="2" fontId="38" fillId="2" borderId="0" xfId="0" applyNumberFormat="1" applyFont="1" applyFill="1"/>
    <xf numFmtId="2" fontId="38" fillId="2" borderId="3" xfId="0" applyNumberFormat="1" applyFont="1" applyFill="1" applyBorder="1"/>
    <xf numFmtId="4" fontId="38" fillId="2" borderId="0" xfId="0" applyNumberFormat="1" applyFont="1" applyFill="1"/>
    <xf numFmtId="165" fontId="38" fillId="2" borderId="3" xfId="1" applyNumberFormat="1" applyFont="1" applyFill="1" applyBorder="1"/>
    <xf numFmtId="165" fontId="38" fillId="2" borderId="0" xfId="1" applyNumberFormat="1" applyFont="1" applyFill="1" applyBorder="1"/>
    <xf numFmtId="165" fontId="38" fillId="2" borderId="4" xfId="1" applyNumberFormat="1" applyFont="1" applyFill="1" applyBorder="1"/>
    <xf numFmtId="0" fontId="0" fillId="2" borderId="0" xfId="0" applyFill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166" fontId="0" fillId="2" borderId="0" xfId="0" applyNumberFormat="1" applyFill="1"/>
    <xf numFmtId="0" fontId="6" fillId="2" borderId="0" xfId="0" quotePrefix="1" applyFont="1" applyFill="1" applyAlignment="1">
      <alignment horizontal="left" vertical="center" wrapText="1"/>
    </xf>
    <xf numFmtId="0" fontId="40" fillId="2" borderId="0" xfId="0" applyFont="1" applyFill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left" vertical="center" indent="1"/>
    </xf>
    <xf numFmtId="0" fontId="43" fillId="2" borderId="0" xfId="0" applyFont="1" applyFill="1" applyAlignment="1">
      <alignment vertical="center"/>
    </xf>
    <xf numFmtId="0" fontId="43" fillId="2" borderId="1" xfId="0" applyFont="1" applyFill="1" applyBorder="1" applyAlignment="1">
      <alignment vertical="center"/>
    </xf>
    <xf numFmtId="165" fontId="39" fillId="2" borderId="0" xfId="1" applyNumberFormat="1" applyFont="1" applyFill="1" applyBorder="1"/>
    <xf numFmtId="0" fontId="40" fillId="2" borderId="0" xfId="0" applyFont="1" applyFill="1"/>
    <xf numFmtId="0" fontId="39" fillId="2" borderId="0" xfId="0" applyFont="1" applyFill="1" applyAlignment="1">
      <alignment horizontal="left" vertical="center"/>
    </xf>
    <xf numFmtId="0" fontId="39" fillId="2" borderId="6" xfId="0" applyFont="1" applyFill="1" applyBorder="1" applyAlignment="1">
      <alignment horizontal="left" vertical="center"/>
    </xf>
    <xf numFmtId="0" fontId="39" fillId="2" borderId="6" xfId="0" applyFont="1" applyFill="1" applyBorder="1" applyAlignment="1">
      <alignment horizontal="center" vertical="center" wrapText="1"/>
    </xf>
    <xf numFmtId="165" fontId="41" fillId="2" borderId="3" xfId="1" applyNumberFormat="1" applyFont="1" applyFill="1" applyBorder="1"/>
    <xf numFmtId="165" fontId="39" fillId="2" borderId="3" xfId="1" applyNumberFormat="1" applyFont="1" applyFill="1" applyBorder="1"/>
    <xf numFmtId="0" fontId="39" fillId="2" borderId="0" xfId="0" applyFont="1" applyFill="1"/>
    <xf numFmtId="0" fontId="39" fillId="2" borderId="3" xfId="0" applyFont="1" applyFill="1" applyBorder="1"/>
    <xf numFmtId="3" fontId="39" fillId="2" borderId="3" xfId="0" applyNumberFormat="1" applyFont="1" applyFill="1" applyBorder="1"/>
    <xf numFmtId="165" fontId="41" fillId="2" borderId="0" xfId="1" applyNumberFormat="1" applyFont="1" applyFill="1" applyBorder="1"/>
    <xf numFmtId="3" fontId="39" fillId="2" borderId="0" xfId="0" applyNumberFormat="1" applyFont="1" applyFill="1"/>
    <xf numFmtId="0" fontId="44" fillId="2" borderId="0" xfId="0" applyFont="1" applyFill="1"/>
    <xf numFmtId="165" fontId="41" fillId="2" borderId="4" xfId="1" applyNumberFormat="1" applyFont="1" applyFill="1" applyBorder="1"/>
    <xf numFmtId="165" fontId="39" fillId="2" borderId="4" xfId="1" applyNumberFormat="1" applyFont="1" applyFill="1" applyBorder="1"/>
    <xf numFmtId="0" fontId="41" fillId="2" borderId="0" xfId="0" applyFont="1" applyFill="1"/>
    <xf numFmtId="0" fontId="45" fillId="2" borderId="0" xfId="0" applyFont="1" applyFill="1"/>
    <xf numFmtId="0" fontId="39" fillId="2" borderId="4" xfId="0" applyFont="1" applyFill="1" applyBorder="1"/>
    <xf numFmtId="3" fontId="39" fillId="2" borderId="4" xfId="0" applyNumberFormat="1" applyFont="1" applyFill="1" applyBorder="1"/>
    <xf numFmtId="165" fontId="39" fillId="2" borderId="1" xfId="1" applyNumberFormat="1" applyFont="1" applyFill="1" applyBorder="1"/>
    <xf numFmtId="165" fontId="39" fillId="2" borderId="6" xfId="1" applyNumberFormat="1" applyFont="1" applyFill="1" applyBorder="1" applyAlignment="1">
      <alignment vertical="center"/>
    </xf>
    <xf numFmtId="0" fontId="39" fillId="2" borderId="7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horizontal="center" vertical="center" wrapText="1"/>
    </xf>
    <xf numFmtId="165" fontId="39" fillId="2" borderId="0" xfId="1" applyNumberFormat="1" applyFont="1" applyFill="1"/>
    <xf numFmtId="165" fontId="39" fillId="2" borderId="8" xfId="1" applyNumberFormat="1" applyFont="1" applyFill="1" applyBorder="1"/>
    <xf numFmtId="0" fontId="40" fillId="2" borderId="0" xfId="0" applyFont="1" applyFill="1" applyAlignment="1">
      <alignment horizontal="right"/>
    </xf>
    <xf numFmtId="165" fontId="39" fillId="2" borderId="0" xfId="1" applyNumberFormat="1" applyFont="1" applyFill="1" applyBorder="1" applyAlignment="1">
      <alignment horizontal="right"/>
    </xf>
    <xf numFmtId="165" fontId="39" fillId="2" borderId="8" xfId="1" applyNumberFormat="1" applyFont="1" applyFill="1" applyBorder="1" applyAlignment="1">
      <alignment horizontal="right"/>
    </xf>
    <xf numFmtId="3" fontId="39" fillId="2" borderId="0" xfId="1" applyNumberFormat="1" applyFont="1" applyFill="1" applyBorder="1"/>
    <xf numFmtId="0" fontId="41" fillId="2" borderId="0" xfId="0" applyFont="1" applyFill="1" applyAlignment="1">
      <alignment horizontal="center" vertical="center" wrapText="1"/>
    </xf>
    <xf numFmtId="3" fontId="41" fillId="2" borderId="3" xfId="1" applyNumberFormat="1" applyFont="1" applyFill="1" applyBorder="1"/>
    <xf numFmtId="3" fontId="39" fillId="2" borderId="3" xfId="1" applyNumberFormat="1" applyFont="1" applyFill="1" applyBorder="1"/>
    <xf numFmtId="0" fontId="39" fillId="2" borderId="0" xfId="0" applyFont="1" applyFill="1" applyAlignment="1">
      <alignment horizontal="center" vertical="center"/>
    </xf>
    <xf numFmtId="3" fontId="41" fillId="2" borderId="0" xfId="1" applyNumberFormat="1" applyFont="1" applyFill="1" applyBorder="1"/>
    <xf numFmtId="3" fontId="41" fillId="2" borderId="0" xfId="0" applyNumberFormat="1" applyFont="1" applyFill="1"/>
    <xf numFmtId="165" fontId="39" fillId="2" borderId="0" xfId="0" applyNumberFormat="1" applyFont="1" applyFill="1"/>
    <xf numFmtId="165" fontId="41" fillId="2" borderId="0" xfId="0" applyNumberFormat="1" applyFont="1" applyFill="1"/>
    <xf numFmtId="4" fontId="39" fillId="2" borderId="0" xfId="0" applyNumberFormat="1" applyFont="1" applyFill="1"/>
    <xf numFmtId="4" fontId="41" fillId="2" borderId="4" xfId="0" applyNumberFormat="1" applyFont="1" applyFill="1" applyBorder="1"/>
    <xf numFmtId="166" fontId="39" fillId="2" borderId="0" xfId="1" applyNumberFormat="1" applyFont="1" applyFill="1" applyBorder="1"/>
    <xf numFmtId="4" fontId="39" fillId="2" borderId="4" xfId="0" applyNumberFormat="1" applyFont="1" applyFill="1" applyBorder="1"/>
    <xf numFmtId="0" fontId="39" fillId="2" borderId="4" xfId="0" applyFont="1" applyFill="1" applyBorder="1" applyAlignment="1">
      <alignment horizontal="center" vertical="center"/>
    </xf>
    <xf numFmtId="4" fontId="41" fillId="2" borderId="0" xfId="0" applyNumberFormat="1" applyFont="1" applyFill="1"/>
    <xf numFmtId="166" fontId="39" fillId="2" borderId="0" xfId="1" applyNumberFormat="1" applyFont="1" applyFill="1"/>
    <xf numFmtId="4" fontId="39" fillId="2" borderId="0" xfId="1" applyNumberFormat="1" applyFont="1" applyFill="1" applyBorder="1"/>
    <xf numFmtId="167" fontId="39" fillId="2" borderId="0" xfId="0" applyNumberFormat="1" applyFont="1" applyFill="1"/>
    <xf numFmtId="3" fontId="39" fillId="2" borderId="0" xfId="0" applyNumberFormat="1" applyFont="1" applyFill="1" applyAlignment="1">
      <alignment horizontal="right"/>
    </xf>
    <xf numFmtId="0" fontId="39" fillId="2" borderId="5" xfId="0" applyFont="1" applyFill="1" applyBorder="1" applyAlignment="1">
      <alignment horizontal="center" vertical="center" wrapText="1"/>
    </xf>
    <xf numFmtId="2" fontId="39" fillId="2" borderId="0" xfId="0" applyNumberFormat="1" applyFont="1" applyFill="1"/>
    <xf numFmtId="2" fontId="41" fillId="2" borderId="3" xfId="0" applyNumberFormat="1" applyFont="1" applyFill="1" applyBorder="1"/>
    <xf numFmtId="2" fontId="39" fillId="2" borderId="3" xfId="0" applyNumberFormat="1" applyFont="1" applyFill="1" applyBorder="1"/>
    <xf numFmtId="2" fontId="41" fillId="2" borderId="0" xfId="0" applyNumberFormat="1" applyFont="1" applyFill="1"/>
    <xf numFmtId="166" fontId="9" fillId="0" borderId="3" xfId="1" applyNumberFormat="1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0" fillId="0" borderId="0" xfId="0" applyAlignment="1">
      <alignment horizontal="center"/>
    </xf>
    <xf numFmtId="4" fontId="3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" fontId="37" fillId="2" borderId="0" xfId="0" applyNumberFormat="1" applyFont="1" applyFill="1" applyAlignment="1">
      <alignment horizontal="center" vertical="center"/>
    </xf>
    <xf numFmtId="4" fontId="47" fillId="0" borderId="0" xfId="0" applyNumberFormat="1" applyFont="1" applyAlignment="1">
      <alignment horizontal="center" vertical="center"/>
    </xf>
    <xf numFmtId="0" fontId="46" fillId="0" borderId="0" xfId="0" applyFont="1"/>
    <xf numFmtId="2" fontId="0" fillId="0" borderId="0" xfId="0" applyNumberFormat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12" fillId="2" borderId="0" xfId="0" applyFont="1" applyFill="1"/>
    <xf numFmtId="0" fontId="5" fillId="2" borderId="3" xfId="0" applyFont="1" applyFill="1" applyBorder="1" applyAlignment="1">
      <alignment wrapText="1"/>
    </xf>
    <xf numFmtId="0" fontId="50" fillId="0" borderId="0" xfId="0" applyFont="1"/>
    <xf numFmtId="0" fontId="51" fillId="0" borderId="17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center" vertical="center" wrapText="1"/>
    </xf>
    <xf numFmtId="2" fontId="52" fillId="0" borderId="17" xfId="0" applyNumberFormat="1" applyFont="1" applyBorder="1" applyAlignment="1">
      <alignment horizontal="center"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18" xfId="0" applyFont="1" applyBorder="1" applyAlignment="1">
      <alignment horizontal="center" vertical="center" wrapText="1"/>
    </xf>
    <xf numFmtId="2" fontId="52" fillId="0" borderId="18" xfId="0" applyNumberFormat="1" applyFont="1" applyBorder="1" applyAlignment="1">
      <alignment horizontal="center" vertical="center" wrapText="1"/>
    </xf>
    <xf numFmtId="0" fontId="53" fillId="0" borderId="19" xfId="0" applyFont="1" applyBorder="1" applyAlignment="1">
      <alignment horizontal="left" vertical="center" wrapText="1" indent="2"/>
    </xf>
    <xf numFmtId="0" fontId="53" fillId="0" borderId="19" xfId="0" applyFont="1" applyBorder="1" applyAlignment="1">
      <alignment horizontal="center" vertical="center" wrapText="1"/>
    </xf>
    <xf numFmtId="2" fontId="54" fillId="0" borderId="21" xfId="0" applyNumberFormat="1" applyFont="1" applyBorder="1" applyAlignment="1">
      <alignment horizontal="center" vertical="center" wrapText="1"/>
    </xf>
    <xf numFmtId="2" fontId="55" fillId="0" borderId="21" xfId="0" applyNumberFormat="1" applyFont="1" applyBorder="1" applyAlignment="1">
      <alignment horizontal="center" vertical="center" wrapText="1"/>
    </xf>
    <xf numFmtId="0" fontId="53" fillId="0" borderId="20" xfId="0" applyFont="1" applyBorder="1" applyAlignment="1">
      <alignment horizontal="left" vertical="center" wrapText="1" indent="2"/>
    </xf>
    <xf numFmtId="0" fontId="53" fillId="0" borderId="20" xfId="0" applyFont="1" applyBorder="1" applyAlignment="1">
      <alignment horizontal="center" vertical="center" wrapText="1"/>
    </xf>
    <xf numFmtId="2" fontId="54" fillId="0" borderId="22" xfId="0" applyNumberFormat="1" applyFont="1" applyBorder="1" applyAlignment="1">
      <alignment horizontal="center" vertical="center" wrapText="1"/>
    </xf>
    <xf numFmtId="2" fontId="55" fillId="0" borderId="22" xfId="0" applyNumberFormat="1" applyFont="1" applyBorder="1" applyAlignment="1">
      <alignment horizontal="center" vertical="center" wrapText="1"/>
    </xf>
    <xf numFmtId="3" fontId="52" fillId="0" borderId="17" xfId="0" applyNumberFormat="1" applyFont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2" fillId="0" borderId="18" xfId="0" applyNumberFormat="1" applyFont="1" applyBorder="1" applyAlignment="1">
      <alignment horizontal="center" vertical="center" wrapText="1"/>
    </xf>
    <xf numFmtId="0" fontId="57" fillId="0" borderId="19" xfId="0" applyFont="1" applyBorder="1" applyAlignment="1">
      <alignment horizontal="left" vertical="center" wrapText="1" indent="2"/>
    </xf>
    <xf numFmtId="4" fontId="56" fillId="0" borderId="19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left" vertical="center" wrapText="1" indent="2"/>
    </xf>
    <xf numFmtId="4" fontId="56" fillId="0" borderId="20" xfId="0" applyNumberFormat="1" applyFont="1" applyBorder="1" applyAlignment="1">
      <alignment horizontal="center" vertical="center" wrapText="1"/>
    </xf>
    <xf numFmtId="2" fontId="37" fillId="2" borderId="0" xfId="0" applyNumberFormat="1" applyFont="1" applyFill="1" applyAlignment="1">
      <alignment horizontal="center" vertical="center"/>
    </xf>
    <xf numFmtId="170" fontId="10" fillId="2" borderId="0" xfId="0" applyNumberFormat="1" applyFont="1" applyFill="1" applyAlignment="1" applyProtection="1">
      <alignment horizontal="left" vertical="center" wrapText="1"/>
      <protection locked="0"/>
    </xf>
    <xf numFmtId="170" fontId="9" fillId="2" borderId="0" xfId="0" applyNumberFormat="1" applyFont="1" applyFill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wrapText="1"/>
    </xf>
    <xf numFmtId="171" fontId="9" fillId="2" borderId="0" xfId="0" applyNumberFormat="1" applyFont="1" applyFill="1" applyAlignment="1" applyProtection="1">
      <alignment horizontal="left" vertical="center" wrapText="1"/>
      <protection locked="0"/>
    </xf>
    <xf numFmtId="171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6" fillId="2" borderId="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 wrapText="1"/>
    </xf>
    <xf numFmtId="171" fontId="9" fillId="10" borderId="9" xfId="0" applyNumberFormat="1" applyFont="1" applyFill="1" applyBorder="1" applyAlignment="1" applyProtection="1">
      <alignment horizontal="left" vertical="center" wrapText="1"/>
      <protection locked="0"/>
    </xf>
    <xf numFmtId="0" fontId="24" fillId="10" borderId="14" xfId="0" applyFont="1" applyFill="1" applyBorder="1" applyAlignment="1" applyProtection="1">
      <alignment vertical="center" wrapText="1"/>
      <protection locked="0"/>
    </xf>
    <xf numFmtId="168" fontId="24" fillId="10" borderId="14" xfId="0" applyNumberFormat="1" applyFont="1" applyFill="1" applyBorder="1" applyAlignment="1" applyProtection="1">
      <alignment horizontal="right" vertical="center"/>
      <protection locked="0"/>
    </xf>
    <xf numFmtId="0" fontId="37" fillId="10" borderId="14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left" wrapText="1" indent="1"/>
    </xf>
    <xf numFmtId="0" fontId="10" fillId="2" borderId="4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0" fillId="2" borderId="4" xfId="0" applyFont="1" applyFill="1" applyBorder="1" applyAlignment="1">
      <alignment horizontal="left" wrapText="1" indent="1"/>
    </xf>
    <xf numFmtId="0" fontId="10" fillId="2" borderId="0" xfId="0" applyFont="1" applyFill="1" applyAlignment="1">
      <alignment vertical="center" wrapText="1"/>
    </xf>
    <xf numFmtId="0" fontId="32" fillId="2" borderId="5" xfId="0" applyFont="1" applyFill="1" applyBorder="1" applyAlignment="1">
      <alignment vertical="center" wrapText="1"/>
    </xf>
    <xf numFmtId="0" fontId="28" fillId="2" borderId="0" xfId="0" applyFont="1" applyFill="1" applyAlignment="1">
      <alignment wrapText="1"/>
    </xf>
    <xf numFmtId="0" fontId="58" fillId="2" borderId="0" xfId="0" applyFont="1" applyFill="1" applyAlignment="1">
      <alignment horizontal="center" vertical="center"/>
    </xf>
    <xf numFmtId="2" fontId="56" fillId="0" borderId="19" xfId="0" applyNumberFormat="1" applyFont="1" applyBorder="1" applyAlignment="1">
      <alignment horizontal="center" vertical="center" wrapText="1"/>
    </xf>
    <xf numFmtId="2" fontId="56" fillId="0" borderId="20" xfId="0" applyNumberFormat="1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2" fontId="51" fillId="0" borderId="23" xfId="0" applyNumberFormat="1" applyFont="1" applyBorder="1" applyAlignment="1">
      <alignment horizontal="center" vertical="center" wrapText="1"/>
    </xf>
    <xf numFmtId="2" fontId="51" fillId="0" borderId="24" xfId="0" applyNumberFormat="1" applyFont="1" applyBorder="1" applyAlignment="1">
      <alignment horizontal="center" vertical="center" wrapText="1"/>
    </xf>
    <xf numFmtId="2" fontId="51" fillId="0" borderId="26" xfId="0" applyNumberFormat="1" applyFont="1" applyBorder="1" applyAlignment="1">
      <alignment horizontal="center" vertical="center" wrapText="1"/>
    </xf>
    <xf numFmtId="2" fontId="51" fillId="0" borderId="27" xfId="0" applyNumberFormat="1" applyFont="1" applyBorder="1" applyAlignment="1">
      <alignment horizontal="center" vertical="center" wrapText="1"/>
    </xf>
    <xf numFmtId="2" fontId="51" fillId="0" borderId="25" xfId="0" applyNumberFormat="1" applyFont="1" applyBorder="1" applyAlignment="1">
      <alignment horizontal="center" vertical="center" wrapText="1"/>
    </xf>
    <xf numFmtId="2" fontId="51" fillId="0" borderId="28" xfId="0" applyNumberFormat="1" applyFont="1" applyBorder="1" applyAlignment="1">
      <alignment horizontal="center" vertical="center" wrapText="1"/>
    </xf>
    <xf numFmtId="2" fontId="53" fillId="0" borderId="29" xfId="0" applyNumberFormat="1" applyFont="1" applyBorder="1" applyAlignment="1">
      <alignment horizontal="center" vertical="center" wrapText="1"/>
    </xf>
    <xf numFmtId="2" fontId="53" fillId="0" borderId="30" xfId="0" applyNumberFormat="1" applyFont="1" applyBorder="1" applyAlignment="1">
      <alignment horizontal="center" vertical="center" wrapText="1"/>
    </xf>
    <xf numFmtId="2" fontId="53" fillId="0" borderId="31" xfId="0" applyNumberFormat="1" applyFont="1" applyBorder="1" applyAlignment="1">
      <alignment horizontal="center" vertical="center" wrapText="1"/>
    </xf>
    <xf numFmtId="2" fontId="53" fillId="0" borderId="32" xfId="0" applyNumberFormat="1" applyFont="1" applyBorder="1" applyAlignment="1">
      <alignment horizontal="center" vertical="center" wrapText="1"/>
    </xf>
    <xf numFmtId="2" fontId="53" fillId="0" borderId="33" xfId="0" applyNumberFormat="1" applyFont="1" applyBorder="1" applyAlignment="1">
      <alignment horizontal="center" vertical="center" wrapText="1"/>
    </xf>
    <xf numFmtId="2" fontId="53" fillId="0" borderId="34" xfId="0" applyNumberFormat="1" applyFont="1" applyBorder="1" applyAlignment="1">
      <alignment horizontal="center" vertical="center" wrapText="1"/>
    </xf>
    <xf numFmtId="1" fontId="51" fillId="0" borderId="24" xfId="0" applyNumberFormat="1" applyFont="1" applyBorder="1" applyAlignment="1">
      <alignment horizontal="center" vertical="center" wrapText="1"/>
    </xf>
    <xf numFmtId="1" fontId="51" fillId="0" borderId="26" xfId="0" applyNumberFormat="1" applyFont="1" applyBorder="1" applyAlignment="1">
      <alignment horizontal="center" vertical="center" wrapText="1"/>
    </xf>
    <xf numFmtId="2" fontId="53" fillId="2" borderId="31" xfId="0" applyNumberFormat="1" applyFont="1" applyFill="1" applyBorder="1" applyAlignment="1">
      <alignment horizontal="center" vertical="center" wrapText="1"/>
    </xf>
    <xf numFmtId="2" fontId="53" fillId="2" borderId="34" xfId="0" applyNumberFormat="1" applyFont="1" applyFill="1" applyBorder="1" applyAlignment="1">
      <alignment horizontal="center" vertical="center" wrapText="1"/>
    </xf>
    <xf numFmtId="4" fontId="51" fillId="0" borderId="27" xfId="0" applyNumberFormat="1" applyFont="1" applyBorder="1" applyAlignment="1">
      <alignment horizontal="center" vertical="center" wrapText="1"/>
    </xf>
    <xf numFmtId="4" fontId="51" fillId="0" borderId="25" xfId="0" applyNumberFormat="1" applyFont="1" applyBorder="1" applyAlignment="1">
      <alignment horizontal="center" vertical="center" wrapText="1"/>
    </xf>
    <xf numFmtId="4" fontId="53" fillId="0" borderId="29" xfId="0" applyNumberFormat="1" applyFont="1" applyBorder="1" applyAlignment="1">
      <alignment horizontal="center" vertical="center" wrapText="1"/>
    </xf>
    <xf numFmtId="4" fontId="53" fillId="0" borderId="30" xfId="0" applyNumberFormat="1" applyFont="1" applyBorder="1" applyAlignment="1">
      <alignment horizontal="center" vertical="center" wrapText="1"/>
    </xf>
    <xf numFmtId="4" fontId="53" fillId="0" borderId="32" xfId="0" applyNumberFormat="1" applyFont="1" applyBorder="1" applyAlignment="1">
      <alignment horizontal="center" vertical="center" wrapText="1"/>
    </xf>
    <xf numFmtId="4" fontId="53" fillId="0" borderId="33" xfId="0" applyNumberFormat="1" applyFont="1" applyBorder="1" applyAlignment="1">
      <alignment horizontal="center" vertical="center" wrapText="1"/>
    </xf>
    <xf numFmtId="3" fontId="51" fillId="0" borderId="23" xfId="0" applyNumberFormat="1" applyFont="1" applyBorder="1" applyAlignment="1">
      <alignment horizontal="center" vertical="center" wrapText="1"/>
    </xf>
    <xf numFmtId="3" fontId="51" fillId="0" borderId="24" xfId="0" applyNumberFormat="1" applyFont="1" applyBorder="1" applyAlignment="1">
      <alignment horizontal="center" vertical="center" wrapText="1"/>
    </xf>
    <xf numFmtId="3" fontId="51" fillId="0" borderId="26" xfId="0" applyNumberFormat="1" applyFont="1" applyBorder="1" applyAlignment="1">
      <alignment horizontal="center" vertical="center" wrapText="1"/>
    </xf>
    <xf numFmtId="4" fontId="51" fillId="0" borderId="28" xfId="0" applyNumberFormat="1" applyFont="1" applyBorder="1" applyAlignment="1">
      <alignment horizontal="center" vertical="center" wrapText="1"/>
    </xf>
    <xf numFmtId="4" fontId="53" fillId="0" borderId="31" xfId="0" applyNumberFormat="1" applyFont="1" applyBorder="1" applyAlignment="1">
      <alignment horizontal="center" vertical="center" wrapText="1"/>
    </xf>
    <xf numFmtId="4" fontId="53" fillId="0" borderId="34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8" borderId="35" xfId="0" applyFont="1" applyFill="1" applyBorder="1" applyAlignment="1">
      <alignment horizontal="center" vertical="center" wrapText="1"/>
    </xf>
    <xf numFmtId="2" fontId="51" fillId="0" borderId="35" xfId="0" applyNumberFormat="1" applyFont="1" applyBorder="1" applyAlignment="1">
      <alignment horizontal="center" vertical="center" wrapText="1"/>
    </xf>
    <xf numFmtId="2" fontId="51" fillId="0" borderId="36" xfId="0" applyNumberFormat="1" applyFont="1" applyBorder="1" applyAlignment="1">
      <alignment horizontal="center" vertical="center" wrapText="1"/>
    </xf>
    <xf numFmtId="2" fontId="53" fillId="0" borderId="37" xfId="0" applyNumberFormat="1" applyFont="1" applyBorder="1" applyAlignment="1">
      <alignment horizontal="center" vertical="center" wrapText="1"/>
    </xf>
    <xf numFmtId="2" fontId="53" fillId="0" borderId="38" xfId="0" applyNumberFormat="1" applyFont="1" applyBorder="1" applyAlignment="1">
      <alignment horizontal="center" vertical="center" wrapText="1"/>
    </xf>
    <xf numFmtId="3" fontId="51" fillId="0" borderId="35" xfId="0" applyNumberFormat="1" applyFont="1" applyBorder="1" applyAlignment="1">
      <alignment horizontal="center" vertical="center" wrapText="1"/>
    </xf>
    <xf numFmtId="4" fontId="51" fillId="0" borderId="36" xfId="0" applyNumberFormat="1" applyFont="1" applyBorder="1" applyAlignment="1">
      <alignment horizontal="center" vertical="center" wrapText="1"/>
    </xf>
    <xf numFmtId="4" fontId="53" fillId="0" borderId="37" xfId="0" applyNumberFormat="1" applyFont="1" applyBorder="1" applyAlignment="1">
      <alignment horizontal="center" vertical="center" wrapText="1"/>
    </xf>
    <xf numFmtId="4" fontId="53" fillId="0" borderId="3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5" fontId="41" fillId="2" borderId="0" xfId="1" applyNumberFormat="1" applyFont="1" applyFill="1" applyBorder="1" applyAlignment="1">
      <alignment horizontal="right"/>
    </xf>
    <xf numFmtId="165" fontId="41" fillId="2" borderId="8" xfId="1" applyNumberFormat="1" applyFont="1" applyFill="1" applyBorder="1"/>
    <xf numFmtId="165" fontId="41" fillId="2" borderId="8" xfId="1" applyNumberFormat="1" applyFont="1" applyFill="1" applyBorder="1" applyAlignment="1">
      <alignment horizontal="right"/>
    </xf>
    <xf numFmtId="0" fontId="59" fillId="2" borderId="1" xfId="0" applyFont="1" applyFill="1" applyBorder="1" applyAlignment="1">
      <alignment vertical="center"/>
    </xf>
    <xf numFmtId="3" fontId="9" fillId="2" borderId="0" xfId="0" applyNumberFormat="1" applyFont="1" applyFill="1"/>
    <xf numFmtId="0" fontId="34" fillId="2" borderId="0" xfId="0" applyFont="1" applyFill="1"/>
    <xf numFmtId="173" fontId="9" fillId="2" borderId="3" xfId="1" applyNumberFormat="1" applyFont="1" applyFill="1" applyBorder="1" applyAlignment="1">
      <alignment vertical="center"/>
    </xf>
    <xf numFmtId="173" fontId="10" fillId="2" borderId="0" xfId="0" applyNumberFormat="1" applyFont="1" applyFill="1" applyAlignment="1">
      <alignment vertical="center"/>
    </xf>
    <xf numFmtId="173" fontId="10" fillId="2" borderId="4" xfId="0" applyNumberFormat="1" applyFont="1" applyFill="1" applyBorder="1" applyAlignment="1">
      <alignment vertical="center"/>
    </xf>
    <xf numFmtId="173" fontId="9" fillId="2" borderId="0" xfId="1" applyNumberFormat="1" applyFont="1" applyFill="1" applyBorder="1" applyAlignment="1">
      <alignment vertical="center"/>
    </xf>
    <xf numFmtId="173" fontId="12" fillId="2" borderId="3" xfId="1" applyNumberFormat="1" applyFont="1" applyFill="1" applyBorder="1" applyAlignment="1">
      <alignment vertical="center"/>
    </xf>
    <xf numFmtId="173" fontId="14" fillId="2" borderId="4" xfId="0" applyNumberFormat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horizontal="right" vertical="center"/>
    </xf>
    <xf numFmtId="0" fontId="51" fillId="0" borderId="3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2" fontId="0" fillId="0" borderId="0" xfId="0" applyNumberFormat="1"/>
    <xf numFmtId="165" fontId="9" fillId="2" borderId="0" xfId="1" applyNumberFormat="1" applyFont="1" applyFill="1" applyBorder="1"/>
    <xf numFmtId="165" fontId="9" fillId="2" borderId="0" xfId="1" applyNumberFormat="1" applyFont="1" applyFill="1" applyBorder="1" applyAlignment="1">
      <alignment horizontal="right"/>
    </xf>
    <xf numFmtId="0" fontId="61" fillId="2" borderId="0" xfId="0" applyFont="1" applyFill="1" applyAlignment="1">
      <alignment horizontal="left" vertical="center" indent="1"/>
    </xf>
    <xf numFmtId="0" fontId="62" fillId="2" borderId="0" xfId="0" applyFont="1" applyFill="1"/>
    <xf numFmtId="0" fontId="38" fillId="2" borderId="7" xfId="0" applyFont="1" applyFill="1" applyBorder="1" applyAlignment="1">
      <alignment horizontal="center" vertical="center" wrapText="1"/>
    </xf>
    <xf numFmtId="165" fontId="23" fillId="2" borderId="0" xfId="1" applyNumberFormat="1" applyFont="1" applyFill="1" applyBorder="1"/>
    <xf numFmtId="165" fontId="23" fillId="2" borderId="0" xfId="1" applyNumberFormat="1" applyFont="1" applyFill="1" applyBorder="1" applyAlignment="1">
      <alignment horizontal="right"/>
    </xf>
    <xf numFmtId="165" fontId="23" fillId="2" borderId="8" xfId="1" applyNumberFormat="1" applyFont="1" applyFill="1" applyBorder="1"/>
    <xf numFmtId="165" fontId="23" fillId="2" borderId="8" xfId="1" applyNumberFormat="1" applyFont="1" applyFill="1" applyBorder="1" applyAlignment="1">
      <alignment horizontal="right"/>
    </xf>
    <xf numFmtId="0" fontId="62" fillId="2" borderId="0" xfId="0" applyFont="1" applyFill="1" applyAlignment="1">
      <alignment horizontal="right"/>
    </xf>
    <xf numFmtId="165" fontId="38" fillId="2" borderId="0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3" fontId="9" fillId="2" borderId="3" xfId="1" applyNumberFormat="1" applyFont="1" applyFill="1" applyBorder="1"/>
    <xf numFmtId="2" fontId="9" fillId="2" borderId="3" xfId="0" applyNumberFormat="1" applyFont="1" applyFill="1" applyBorder="1"/>
    <xf numFmtId="2" fontId="9" fillId="2" borderId="0" xfId="0" applyNumberFormat="1" applyFont="1" applyFill="1"/>
    <xf numFmtId="4" fontId="9" fillId="2" borderId="4" xfId="0" applyNumberFormat="1" applyFont="1" applyFill="1" applyBorder="1"/>
    <xf numFmtId="0" fontId="63" fillId="2" borderId="0" xfId="0" applyFont="1" applyFill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3" fontId="23" fillId="2" borderId="3" xfId="1" applyNumberFormat="1" applyFont="1" applyFill="1" applyBorder="1"/>
    <xf numFmtId="3" fontId="23" fillId="2" borderId="0" xfId="0" applyNumberFormat="1" applyFont="1" applyFill="1"/>
    <xf numFmtId="4" fontId="23" fillId="2" borderId="4" xfId="0" applyNumberFormat="1" applyFont="1" applyFill="1" applyBorder="1"/>
    <xf numFmtId="0" fontId="38" fillId="2" borderId="0" xfId="0" applyFont="1" applyFill="1" applyAlignment="1">
      <alignment horizontal="center" vertical="center"/>
    </xf>
    <xf numFmtId="2" fontId="23" fillId="2" borderId="3" xfId="0" applyNumberFormat="1" applyFont="1" applyFill="1" applyBorder="1"/>
    <xf numFmtId="2" fontId="23" fillId="2" borderId="0" xfId="0" applyNumberFormat="1" applyFont="1" applyFill="1"/>
    <xf numFmtId="0" fontId="64" fillId="2" borderId="1" xfId="0" applyFont="1" applyFill="1" applyBorder="1" applyAlignment="1">
      <alignment vertical="center"/>
    </xf>
    <xf numFmtId="0" fontId="63" fillId="2" borderId="1" xfId="0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/>
    </xf>
    <xf numFmtId="165" fontId="23" fillId="2" borderId="3" xfId="1" applyNumberFormat="1" applyFont="1" applyFill="1" applyBorder="1"/>
    <xf numFmtId="0" fontId="38" fillId="2" borderId="0" xfId="0" applyFont="1" applyFill="1"/>
    <xf numFmtId="165" fontId="23" fillId="2" borderId="4" xfId="1" applyNumberFormat="1" applyFont="1" applyFill="1" applyBorder="1"/>
    <xf numFmtId="0" fontId="65" fillId="2" borderId="0" xfId="0" applyFont="1" applyFill="1"/>
    <xf numFmtId="0" fontId="66" fillId="2" borderId="1" xfId="0" applyFont="1" applyFill="1" applyBorder="1" applyAlignment="1">
      <alignment vertical="center"/>
    </xf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0" fontId="38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3" fontId="38" fillId="2" borderId="3" xfId="1" applyNumberFormat="1" applyFont="1" applyFill="1" applyBorder="1"/>
    <xf numFmtId="3" fontId="38" fillId="2" borderId="0" xfId="1" applyNumberFormat="1" applyFont="1" applyFill="1" applyBorder="1"/>
    <xf numFmtId="3" fontId="38" fillId="2" borderId="0" xfId="0" applyNumberFormat="1" applyFont="1" applyFill="1"/>
    <xf numFmtId="166" fontId="38" fillId="2" borderId="0" xfId="1" applyNumberFormat="1" applyFont="1" applyFill="1" applyBorder="1"/>
    <xf numFmtId="4" fontId="38" fillId="2" borderId="0" xfId="1" applyNumberFormat="1" applyFont="1" applyFill="1" applyBorder="1"/>
    <xf numFmtId="167" fontId="38" fillId="2" borderId="0" xfId="0" applyNumberFormat="1" applyFont="1" applyFill="1"/>
    <xf numFmtId="4" fontId="9" fillId="0" borderId="4" xfId="0" applyNumberFormat="1" applyFont="1" applyBorder="1"/>
    <xf numFmtId="4" fontId="62" fillId="0" borderId="4" xfId="2" applyNumberFormat="1" applyFont="1" applyFill="1" applyBorder="1"/>
    <xf numFmtId="166" fontId="4" fillId="2" borderId="0" xfId="0" applyNumberFormat="1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9" fillId="8" borderId="39" xfId="0" applyFont="1" applyFill="1" applyBorder="1" applyAlignment="1">
      <alignment horizontal="center" vertical="center" wrapText="1"/>
    </xf>
    <xf numFmtId="2" fontId="51" fillId="0" borderId="39" xfId="0" applyNumberFormat="1" applyFont="1" applyBorder="1" applyAlignment="1">
      <alignment horizontal="center" vertical="center" wrapText="1"/>
    </xf>
    <xf numFmtId="2" fontId="51" fillId="0" borderId="40" xfId="0" applyNumberFormat="1" applyFont="1" applyBorder="1" applyAlignment="1">
      <alignment horizontal="center" vertical="center" wrapText="1"/>
    </xf>
    <xf numFmtId="2" fontId="53" fillId="0" borderId="41" xfId="0" applyNumberFormat="1" applyFont="1" applyBorder="1" applyAlignment="1">
      <alignment horizontal="center" vertical="center" wrapText="1"/>
    </xf>
    <xf numFmtId="2" fontId="53" fillId="0" borderId="42" xfId="0" applyNumberFormat="1" applyFont="1" applyBorder="1" applyAlignment="1">
      <alignment horizontal="center" vertical="center" wrapText="1"/>
    </xf>
    <xf numFmtId="4" fontId="51" fillId="0" borderId="40" xfId="0" applyNumberFormat="1" applyFont="1" applyBorder="1" applyAlignment="1">
      <alignment horizontal="center" vertical="center" wrapText="1"/>
    </xf>
    <xf numFmtId="4" fontId="53" fillId="0" borderId="41" xfId="0" applyNumberFormat="1" applyFont="1" applyBorder="1" applyAlignment="1">
      <alignment horizontal="center" vertical="center" wrapText="1"/>
    </xf>
    <xf numFmtId="4" fontId="53" fillId="0" borderId="42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/>
    <xf numFmtId="0" fontId="6" fillId="0" borderId="0" xfId="0" applyFont="1" applyAlignment="1">
      <alignment vertical="center" wrapText="1"/>
    </xf>
    <xf numFmtId="164" fontId="10" fillId="2" borderId="0" xfId="1" applyFont="1" applyFill="1"/>
    <xf numFmtId="0" fontId="31" fillId="4" borderId="0" xfId="0" applyFont="1" applyFill="1"/>
    <xf numFmtId="0" fontId="69" fillId="2" borderId="0" xfId="0" applyFont="1" applyFill="1"/>
    <xf numFmtId="0" fontId="10" fillId="4" borderId="1" xfId="0" applyFont="1" applyFill="1" applyBorder="1" applyAlignment="1">
      <alignment horizontal="left" indent="1"/>
    </xf>
    <xf numFmtId="0" fontId="31" fillId="2" borderId="5" xfId="0" applyFont="1" applyFill="1" applyBorder="1"/>
    <xf numFmtId="0" fontId="31" fillId="2" borderId="4" xfId="0" applyFont="1" applyFill="1" applyBorder="1"/>
    <xf numFmtId="0" fontId="70" fillId="2" borderId="1" xfId="0" applyFont="1" applyFill="1" applyBorder="1" applyAlignment="1">
      <alignment horizontal="left" vertical="center" indent="1"/>
    </xf>
    <xf numFmtId="0" fontId="70" fillId="4" borderId="0" xfId="0" applyFont="1" applyFill="1" applyAlignment="1">
      <alignment horizontal="left" vertical="center" indent="1"/>
    </xf>
    <xf numFmtId="3" fontId="10" fillId="2" borderId="16" xfId="0" applyNumberFormat="1" applyFont="1" applyFill="1" applyBorder="1"/>
    <xf numFmtId="174" fontId="10" fillId="2" borderId="8" xfId="0" applyNumberFormat="1" applyFont="1" applyFill="1" applyBorder="1"/>
    <xf numFmtId="0" fontId="51" fillId="0" borderId="39" xfId="0" applyFont="1" applyBorder="1" applyAlignment="1">
      <alignment horizontal="center" vertical="center" wrapText="1"/>
    </xf>
    <xf numFmtId="165" fontId="28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left" vertical="center"/>
    </xf>
    <xf numFmtId="0" fontId="10" fillId="12" borderId="0" xfId="0" applyFont="1" applyFill="1" applyAlignment="1" applyProtection="1">
      <alignment horizontal="center" vertical="center"/>
      <protection locked="0"/>
    </xf>
    <xf numFmtId="168" fontId="6" fillId="12" borderId="0" xfId="0" applyNumberFormat="1" applyFont="1" applyFill="1" applyAlignment="1" applyProtection="1">
      <alignment horizontal="right" vertical="center"/>
      <protection locked="0"/>
    </xf>
    <xf numFmtId="168" fontId="24" fillId="12" borderId="0" xfId="0" applyNumberFormat="1" applyFont="1" applyFill="1" applyAlignment="1" applyProtection="1">
      <alignment horizontal="right" vertical="center"/>
      <protection locked="0"/>
    </xf>
    <xf numFmtId="171" fontId="24" fillId="12" borderId="0" xfId="0" applyNumberFormat="1" applyFont="1" applyFill="1" applyAlignment="1">
      <alignment horizontal="right" vertical="center"/>
    </xf>
    <xf numFmtId="171" fontId="24" fillId="12" borderId="0" xfId="0" applyNumberFormat="1" applyFont="1" applyFill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9" fillId="2" borderId="5" xfId="0" applyFont="1" applyFill="1" applyBorder="1" applyAlignment="1">
      <alignment vertical="center" wrapText="1"/>
    </xf>
    <xf numFmtId="170" fontId="10" fillId="2" borderId="0" xfId="0" applyNumberFormat="1" applyFont="1" applyFill="1" applyAlignment="1">
      <alignment vertical="center"/>
    </xf>
    <xf numFmtId="170" fontId="10" fillId="2" borderId="5" xfId="0" applyNumberFormat="1" applyFont="1" applyFill="1" applyBorder="1" applyAlignment="1">
      <alignment vertical="center"/>
    </xf>
    <xf numFmtId="169" fontId="9" fillId="12" borderId="3" xfId="0" applyNumberFormat="1" applyFont="1" applyFill="1" applyBorder="1" applyAlignment="1">
      <alignment vertical="center"/>
    </xf>
    <xf numFmtId="169" fontId="9" fillId="2" borderId="0" xfId="0" applyNumberFormat="1" applyFont="1" applyFill="1" applyAlignment="1">
      <alignment vertical="center"/>
    </xf>
    <xf numFmtId="169" fontId="10" fillId="12" borderId="0" xfId="0" applyNumberFormat="1" applyFont="1" applyFill="1" applyAlignment="1">
      <alignment vertical="center"/>
    </xf>
    <xf numFmtId="169" fontId="10" fillId="2" borderId="0" xfId="0" applyNumberFormat="1" applyFont="1" applyFill="1" applyAlignment="1">
      <alignment vertical="center"/>
    </xf>
    <xf numFmtId="165" fontId="10" fillId="12" borderId="0" xfId="0" applyNumberFormat="1" applyFont="1" applyFill="1" applyAlignment="1">
      <alignment vertical="center"/>
    </xf>
    <xf numFmtId="169" fontId="9" fillId="10" borderId="9" xfId="0" applyNumberFormat="1" applyFont="1" applyFill="1" applyBorder="1" applyAlignment="1">
      <alignment vertical="center"/>
    </xf>
    <xf numFmtId="169" fontId="9" fillId="12" borderId="0" xfId="0" applyNumberFormat="1" applyFont="1" applyFill="1" applyAlignment="1">
      <alignment vertical="center"/>
    </xf>
    <xf numFmtId="169" fontId="9" fillId="12" borderId="1" xfId="0" applyNumberFormat="1" applyFont="1" applyFill="1" applyBorder="1" applyAlignment="1">
      <alignment vertical="center"/>
    </xf>
    <xf numFmtId="169" fontId="9" fillId="2" borderId="1" xfId="0" applyNumberFormat="1" applyFont="1" applyFill="1" applyBorder="1" applyAlignment="1">
      <alignment vertical="center"/>
    </xf>
    <xf numFmtId="165" fontId="9" fillId="1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9" fontId="10" fillId="12" borderId="1" xfId="0" applyNumberFormat="1" applyFont="1" applyFill="1" applyBorder="1" applyAlignment="1">
      <alignment vertical="center"/>
    </xf>
    <xf numFmtId="169" fontId="10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12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165" fontId="9" fillId="1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0" fontId="9" fillId="10" borderId="9" xfId="0" applyFont="1" applyFill="1" applyBorder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165" fontId="9" fillId="10" borderId="9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169" fontId="10" fillId="12" borderId="8" xfId="0" applyNumberFormat="1" applyFont="1" applyFill="1" applyBorder="1" applyAlignment="1">
      <alignment vertical="center"/>
    </xf>
    <xf numFmtId="169" fontId="10" fillId="2" borderId="8" xfId="0" applyNumberFormat="1" applyFont="1" applyFill="1" applyBorder="1" applyAlignment="1">
      <alignment vertical="center"/>
    </xf>
    <xf numFmtId="0" fontId="10" fillId="12" borderId="10" xfId="0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vertical="center"/>
    </xf>
    <xf numFmtId="0" fontId="9" fillId="10" borderId="10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/>
    </xf>
    <xf numFmtId="165" fontId="9" fillId="10" borderId="10" xfId="0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 wrapText="1"/>
    </xf>
    <xf numFmtId="164" fontId="10" fillId="12" borderId="0" xfId="1" applyFont="1" applyFill="1" applyAlignment="1" applyProtection="1">
      <alignment vertical="center"/>
    </xf>
    <xf numFmtId="170" fontId="9" fillId="2" borderId="0" xfId="0" applyNumberFormat="1" applyFont="1" applyFill="1" applyAlignment="1">
      <alignment horizontal="center" vertical="center"/>
    </xf>
    <xf numFmtId="170" fontId="9" fillId="10" borderId="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0" fontId="9" fillId="10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165" fontId="9" fillId="2" borderId="0" xfId="1" applyNumberFormat="1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8" xfId="1" applyNumberFormat="1" applyFont="1" applyFill="1" applyBorder="1" applyAlignment="1">
      <alignment vertical="center"/>
    </xf>
    <xf numFmtId="165" fontId="9" fillId="2" borderId="8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3" fontId="38" fillId="2" borderId="3" xfId="0" applyNumberFormat="1" applyFont="1" applyFill="1" applyBorder="1"/>
    <xf numFmtId="165" fontId="23" fillId="2" borderId="0" xfId="0" applyNumberFormat="1" applyFont="1" applyFill="1"/>
    <xf numFmtId="165" fontId="38" fillId="2" borderId="0" xfId="0" applyNumberFormat="1" applyFont="1" applyFill="1"/>
    <xf numFmtId="4" fontId="38" fillId="0" borderId="4" xfId="0" applyNumberFormat="1" applyFont="1" applyBorder="1"/>
    <xf numFmtId="0" fontId="25" fillId="0" borderId="0" xfId="0" applyFont="1"/>
    <xf numFmtId="0" fontId="52" fillId="0" borderId="35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 wrapText="1"/>
    </xf>
    <xf numFmtId="3" fontId="52" fillId="0" borderId="35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52" fillId="0" borderId="39" xfId="0" applyFont="1" applyBorder="1" applyAlignment="1">
      <alignment horizontal="center" vertical="center" wrapText="1"/>
    </xf>
    <xf numFmtId="2" fontId="52" fillId="0" borderId="39" xfId="0" applyNumberFormat="1" applyFont="1" applyBorder="1" applyAlignment="1">
      <alignment horizontal="center" vertical="center" wrapText="1"/>
    </xf>
    <xf numFmtId="2" fontId="52" fillId="0" borderId="40" xfId="0" applyNumberFormat="1" applyFont="1" applyBorder="1" applyAlignment="1">
      <alignment horizontal="center" vertical="center" wrapText="1"/>
    </xf>
    <xf numFmtId="2" fontId="56" fillId="0" borderId="41" xfId="0" applyNumberFormat="1" applyFont="1" applyBorder="1" applyAlignment="1">
      <alignment horizontal="center" vertical="center" wrapText="1"/>
    </xf>
    <xf numFmtId="2" fontId="56" fillId="0" borderId="42" xfId="0" applyNumberFormat="1" applyFont="1" applyBorder="1" applyAlignment="1">
      <alignment horizontal="center" vertical="center" wrapText="1"/>
    </xf>
    <xf numFmtId="2" fontId="71" fillId="0" borderId="26" xfId="0" applyNumberFormat="1" applyFont="1" applyBorder="1" applyAlignment="1">
      <alignment horizontal="center" vertical="center" wrapText="1"/>
    </xf>
    <xf numFmtId="2" fontId="71" fillId="0" borderId="28" xfId="0" applyNumberFormat="1" applyFont="1" applyBorder="1" applyAlignment="1">
      <alignment horizontal="center" vertical="center" wrapText="1"/>
    </xf>
    <xf numFmtId="2" fontId="57" fillId="0" borderId="31" xfId="0" applyNumberFormat="1" applyFont="1" applyBorder="1" applyAlignment="1">
      <alignment horizontal="center" vertical="center" wrapText="1"/>
    </xf>
    <xf numFmtId="2" fontId="57" fillId="0" borderId="34" xfId="0" applyNumberFormat="1" applyFont="1" applyBorder="1" applyAlignment="1">
      <alignment horizontal="center" vertical="center" wrapText="1"/>
    </xf>
    <xf numFmtId="3" fontId="71" fillId="0" borderId="35" xfId="0" applyNumberFormat="1" applyFont="1" applyBorder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4" fontId="71" fillId="0" borderId="28" xfId="0" applyNumberFormat="1" applyFont="1" applyBorder="1" applyAlignment="1">
      <alignment horizontal="center" vertical="center" wrapText="1"/>
    </xf>
    <xf numFmtId="4" fontId="57" fillId="0" borderId="31" xfId="0" applyNumberFormat="1" applyFont="1" applyBorder="1" applyAlignment="1">
      <alignment horizontal="center" vertical="center" wrapText="1"/>
    </xf>
    <xf numFmtId="4" fontId="57" fillId="0" borderId="34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10" borderId="14" xfId="0" applyFont="1" applyFill="1" applyBorder="1" applyAlignment="1" applyProtection="1">
      <alignment vertical="center"/>
      <protection locked="0"/>
    </xf>
    <xf numFmtId="0" fontId="72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53" fillId="0" borderId="42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165" fontId="40" fillId="2" borderId="0" xfId="0" applyNumberFormat="1" applyFont="1" applyFill="1"/>
    <xf numFmtId="168" fontId="31" fillId="2" borderId="0" xfId="0" applyNumberFormat="1" applyFont="1" applyFill="1"/>
    <xf numFmtId="170" fontId="31" fillId="2" borderId="0" xfId="0" applyNumberFormat="1" applyFont="1" applyFill="1"/>
    <xf numFmtId="165" fontId="31" fillId="2" borderId="5" xfId="0" applyNumberFormat="1" applyFont="1" applyFill="1" applyBorder="1"/>
    <xf numFmtId="0" fontId="68" fillId="2" borderId="0" xfId="0" applyFont="1" applyFill="1"/>
    <xf numFmtId="1" fontId="51" fillId="0" borderId="35" xfId="0" applyNumberFormat="1" applyFont="1" applyBorder="1" applyAlignment="1">
      <alignment horizontal="center" vertical="center" wrapText="1"/>
    </xf>
    <xf numFmtId="165" fontId="69" fillId="2" borderId="0" xfId="0" applyNumberFormat="1" applyFont="1" applyFill="1"/>
    <xf numFmtId="0" fontId="73" fillId="2" borderId="0" xfId="0" applyFont="1" applyFill="1" applyAlignment="1">
      <alignment horizontal="left" indent="1"/>
    </xf>
    <xf numFmtId="0" fontId="73" fillId="2" borderId="0" xfId="0" applyFont="1" applyFill="1"/>
    <xf numFmtId="0" fontId="73" fillId="2" borderId="0" xfId="0" applyFont="1" applyFill="1" applyAlignment="1">
      <alignment horizontal="right" vertical="center"/>
    </xf>
    <xf numFmtId="0" fontId="74" fillId="2" borderId="0" xfId="0" applyFont="1" applyFill="1" applyAlignment="1">
      <alignment vertical="center"/>
    </xf>
    <xf numFmtId="0" fontId="73" fillId="2" borderId="4" xfId="0" applyFont="1" applyFill="1" applyBorder="1" applyAlignment="1">
      <alignment horizontal="left" indent="1"/>
    </xf>
    <xf numFmtId="0" fontId="73" fillId="2" borderId="4" xfId="0" applyFont="1" applyFill="1" applyBorder="1"/>
    <xf numFmtId="3" fontId="73" fillId="0" borderId="4" xfId="0" applyNumberFormat="1" applyFont="1" applyBorder="1" applyAlignment="1">
      <alignment horizontal="right" vertical="center"/>
    </xf>
    <xf numFmtId="173" fontId="73" fillId="2" borderId="0" xfId="0" applyNumberFormat="1" applyFont="1" applyFill="1" applyAlignment="1">
      <alignment vertical="center"/>
    </xf>
    <xf numFmtId="4" fontId="51" fillId="0" borderId="39" xfId="0" applyNumberFormat="1" applyFont="1" applyBorder="1" applyAlignment="1">
      <alignment horizontal="center" vertical="center" wrapText="1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168" fontId="28" fillId="2" borderId="0" xfId="0" applyNumberFormat="1" applyFont="1" applyFill="1" applyAlignment="1">
      <alignment vertical="center"/>
    </xf>
    <xf numFmtId="167" fontId="51" fillId="0" borderId="39" xfId="0" applyNumberFormat="1" applyFont="1" applyBorder="1" applyAlignment="1">
      <alignment horizontal="center" vertical="center" wrapText="1"/>
    </xf>
    <xf numFmtId="0" fontId="28" fillId="2" borderId="45" xfId="0" applyFont="1" applyFill="1" applyBorder="1"/>
    <xf numFmtId="171" fontId="28" fillId="2" borderId="45" xfId="0" applyNumberFormat="1" applyFont="1" applyFill="1" applyBorder="1"/>
    <xf numFmtId="170" fontId="10" fillId="2" borderId="46" xfId="0" applyNumberFormat="1" applyFont="1" applyFill="1" applyBorder="1" applyAlignment="1" applyProtection="1">
      <alignment horizontal="right" vertical="center"/>
      <protection locked="0"/>
    </xf>
    <xf numFmtId="0" fontId="28" fillId="2" borderId="47" xfId="0" applyFont="1" applyFill="1" applyBorder="1"/>
    <xf numFmtId="165" fontId="28" fillId="2" borderId="45" xfId="0" applyNumberFormat="1" applyFont="1" applyFill="1" applyBorder="1"/>
    <xf numFmtId="0" fontId="28" fillId="2" borderId="48" xfId="0" applyFont="1" applyFill="1" applyBorder="1"/>
    <xf numFmtId="0" fontId="31" fillId="2" borderId="49" xfId="0" applyFont="1" applyFill="1" applyBorder="1"/>
    <xf numFmtId="0" fontId="31" fillId="4" borderId="49" xfId="0" applyFont="1" applyFill="1" applyBorder="1"/>
    <xf numFmtId="165" fontId="31" fillId="2" borderId="49" xfId="0" applyNumberFormat="1" applyFont="1" applyFill="1" applyBorder="1"/>
    <xf numFmtId="0" fontId="31" fillId="2" borderId="51" xfId="0" applyFont="1" applyFill="1" applyBorder="1"/>
    <xf numFmtId="165" fontId="10" fillId="2" borderId="49" xfId="0" applyNumberFormat="1" applyFont="1" applyFill="1" applyBorder="1"/>
    <xf numFmtId="165" fontId="31" fillId="2" borderId="51" xfId="0" applyNumberFormat="1" applyFont="1" applyFill="1" applyBorder="1"/>
    <xf numFmtId="0" fontId="31" fillId="2" borderId="52" xfId="0" applyFont="1" applyFill="1" applyBorder="1"/>
    <xf numFmtId="174" fontId="10" fillId="2" borderId="49" xfId="0" applyNumberFormat="1" applyFont="1" applyFill="1" applyBorder="1"/>
    <xf numFmtId="165" fontId="69" fillId="2" borderId="49" xfId="0" applyNumberFormat="1" applyFont="1" applyFill="1" applyBorder="1"/>
    <xf numFmtId="0" fontId="28" fillId="2" borderId="49" xfId="0" applyFont="1" applyFill="1" applyBorder="1"/>
    <xf numFmtId="0" fontId="27" fillId="5" borderId="49" xfId="0" applyFont="1" applyFill="1" applyBorder="1" applyAlignment="1">
      <alignment vertical="center"/>
    </xf>
    <xf numFmtId="0" fontId="10" fillId="2" borderId="53" xfId="0" applyFont="1" applyFill="1" applyBorder="1" applyAlignment="1">
      <alignment horizontal="center" vertical="center" wrapText="1"/>
    </xf>
    <xf numFmtId="165" fontId="28" fillId="2" borderId="49" xfId="0" applyNumberFormat="1" applyFont="1" applyFill="1" applyBorder="1"/>
    <xf numFmtId="165" fontId="10" fillId="2" borderId="54" xfId="0" applyNumberFormat="1" applyFont="1" applyFill="1" applyBorder="1"/>
    <xf numFmtId="165" fontId="10" fillId="2" borderId="55" xfId="0" applyNumberFormat="1" applyFont="1" applyFill="1" applyBorder="1"/>
    <xf numFmtId="165" fontId="10" fillId="2" borderId="51" xfId="0" applyNumberFormat="1" applyFont="1" applyFill="1" applyBorder="1" applyAlignment="1">
      <alignment horizontal="right" vertical="top"/>
    </xf>
    <xf numFmtId="0" fontId="15" fillId="4" borderId="50" xfId="0" applyFont="1" applyFill="1" applyBorder="1"/>
    <xf numFmtId="165" fontId="10" fillId="0" borderId="49" xfId="0" applyNumberFormat="1" applyFont="1" applyBorder="1"/>
    <xf numFmtId="165" fontId="9" fillId="2" borderId="51" xfId="0" applyNumberFormat="1" applyFont="1" applyFill="1" applyBorder="1"/>
    <xf numFmtId="165" fontId="10" fillId="2" borderId="51" xfId="0" applyNumberFormat="1" applyFont="1" applyFill="1" applyBorder="1"/>
    <xf numFmtId="165" fontId="28" fillId="2" borderId="49" xfId="0" applyNumberFormat="1" applyFont="1" applyFill="1" applyBorder="1" applyAlignment="1">
      <alignment vertical="center"/>
    </xf>
    <xf numFmtId="165" fontId="28" fillId="0" borderId="49" xfId="0" applyNumberFormat="1" applyFont="1" applyBorder="1"/>
    <xf numFmtId="174" fontId="10" fillId="2" borderId="54" xfId="0" applyNumberFormat="1" applyFont="1" applyFill="1" applyBorder="1"/>
    <xf numFmtId="0" fontId="28" fillId="2" borderId="52" xfId="0" applyFont="1" applyFill="1" applyBorder="1"/>
    <xf numFmtId="170" fontId="28" fillId="2" borderId="49" xfId="0" applyNumberFormat="1" applyFont="1" applyFill="1" applyBorder="1"/>
    <xf numFmtId="165" fontId="9" fillId="2" borderId="49" xfId="0" applyNumberFormat="1" applyFont="1" applyFill="1" applyBorder="1"/>
    <xf numFmtId="165" fontId="34" fillId="2" borderId="49" xfId="0" applyNumberFormat="1" applyFont="1" applyFill="1" applyBorder="1"/>
    <xf numFmtId="165" fontId="10" fillId="2" borderId="52" xfId="0" applyNumberFormat="1" applyFont="1" applyFill="1" applyBorder="1"/>
    <xf numFmtId="3" fontId="10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5" fillId="2" borderId="4" xfId="0" applyFont="1" applyFill="1" applyBorder="1"/>
    <xf numFmtId="0" fontId="9" fillId="2" borderId="0" xfId="0" applyFont="1" applyFill="1"/>
    <xf numFmtId="0" fontId="10" fillId="4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171" fontId="15" fillId="2" borderId="0" xfId="0" applyNumberFormat="1" applyFont="1" applyFill="1" applyAlignment="1">
      <alignment vertical="center"/>
    </xf>
    <xf numFmtId="0" fontId="35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/>
    </xf>
    <xf numFmtId="0" fontId="32" fillId="2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9" fillId="2" borderId="4" xfId="0" applyFont="1" applyFill="1" applyBorder="1"/>
    <xf numFmtId="0" fontId="27" fillId="4" borderId="1" xfId="0" applyFont="1" applyFill="1" applyBorder="1" applyAlignment="1">
      <alignment horizontal="left" indent="1"/>
    </xf>
    <xf numFmtId="0" fontId="10" fillId="2" borderId="6" xfId="0" applyFont="1" applyFill="1" applyBorder="1" applyAlignment="1">
      <alignment vertical="center"/>
    </xf>
    <xf numFmtId="0" fontId="10" fillId="2" borderId="56" xfId="0" applyFont="1" applyFill="1" applyBorder="1"/>
    <xf numFmtId="0" fontId="9" fillId="2" borderId="0" xfId="0" applyFont="1" applyFill="1" applyAlignment="1">
      <alignment horizontal="left" wrapText="1" indent="1"/>
    </xf>
    <xf numFmtId="0" fontId="10" fillId="2" borderId="0" xfId="0" quotePrefix="1" applyFont="1" applyFill="1"/>
    <xf numFmtId="0" fontId="9" fillId="2" borderId="6" xfId="0" applyFont="1" applyFill="1" applyBorder="1" applyAlignment="1">
      <alignment horizontal="center" vertical="center" wrapText="1"/>
    </xf>
    <xf numFmtId="171" fontId="34" fillId="2" borderId="0" xfId="0" applyNumberFormat="1" applyFont="1" applyFill="1"/>
    <xf numFmtId="0" fontId="34" fillId="2" borderId="57" xfId="0" applyFont="1" applyFill="1" applyBorder="1"/>
    <xf numFmtId="0" fontId="75" fillId="2" borderId="4" xfId="0" applyFont="1" applyFill="1" applyBorder="1"/>
    <xf numFmtId="0" fontId="31" fillId="4" borderId="58" xfId="0" applyFont="1" applyFill="1" applyBorder="1"/>
    <xf numFmtId="164" fontId="10" fillId="2" borderId="0" xfId="1" applyFont="1" applyFill="1" applyAlignment="1">
      <alignment horizontal="right" vertical="center"/>
    </xf>
    <xf numFmtId="3" fontId="31" fillId="2" borderId="0" xfId="0" applyNumberFormat="1" applyFont="1" applyFill="1"/>
    <xf numFmtId="164" fontId="10" fillId="2" borderId="44" xfId="1" applyFont="1" applyFill="1" applyBorder="1"/>
    <xf numFmtId="164" fontId="10" fillId="2" borderId="0" xfId="1" applyFont="1" applyFill="1" applyAlignment="1">
      <alignment horizontal="right"/>
    </xf>
    <xf numFmtId="174" fontId="31" fillId="2" borderId="0" xfId="0" applyNumberFormat="1" applyFont="1" applyFill="1"/>
    <xf numFmtId="16" fontId="9" fillId="2" borderId="0" xfId="0" applyNumberFormat="1" applyFont="1" applyFill="1" applyAlignment="1">
      <alignment horizontal="center" vertical="center"/>
    </xf>
    <xf numFmtId="164" fontId="10" fillId="2" borderId="0" xfId="1" applyFont="1" applyFill="1" applyAlignment="1">
      <alignment horizontal="left" vertical="center"/>
    </xf>
    <xf numFmtId="169" fontId="0" fillId="2" borderId="0" xfId="0" applyNumberFormat="1" applyFill="1"/>
    <xf numFmtId="2" fontId="0" fillId="2" borderId="0" xfId="0" applyNumberFormat="1" applyFill="1"/>
    <xf numFmtId="175" fontId="0" fillId="2" borderId="0" xfId="0" applyNumberFormat="1" applyFill="1"/>
    <xf numFmtId="0" fontId="58" fillId="2" borderId="0" xfId="3" applyFont="1" applyFill="1" applyAlignment="1" applyProtection="1">
      <alignment horizontal="center" vertical="center"/>
      <protection locked="0"/>
    </xf>
    <xf numFmtId="171" fontId="28" fillId="2" borderId="60" xfId="0" applyNumberFormat="1" applyFont="1" applyFill="1" applyBorder="1"/>
    <xf numFmtId="171" fontId="28" fillId="2" borderId="61" xfId="0" applyNumberFormat="1" applyFont="1" applyFill="1" applyBorder="1"/>
    <xf numFmtId="171" fontId="34" fillId="2" borderId="61" xfId="0" applyNumberFormat="1" applyFont="1" applyFill="1" applyBorder="1"/>
    <xf numFmtId="0" fontId="10" fillId="0" borderId="0" xfId="0" applyFont="1" applyAlignment="1">
      <alignment horizontal="left" vertical="center"/>
    </xf>
    <xf numFmtId="0" fontId="31" fillId="0" borderId="49" xfId="0" applyFont="1" applyBorder="1"/>
    <xf numFmtId="0" fontId="31" fillId="0" borderId="0" xfId="0" applyFont="1"/>
    <xf numFmtId="168" fontId="6" fillId="2" borderId="62" xfId="0" applyNumberFormat="1" applyFont="1" applyFill="1" applyBorder="1" applyAlignment="1" applyProtection="1">
      <alignment horizontal="right" vertical="center"/>
      <protection locked="0"/>
    </xf>
    <xf numFmtId="174" fontId="10" fillId="2" borderId="0" xfId="1" applyNumberFormat="1" applyFont="1" applyFill="1"/>
    <xf numFmtId="165" fontId="35" fillId="2" borderId="4" xfId="0" applyNumberFormat="1" applyFont="1" applyFill="1" applyBorder="1"/>
    <xf numFmtId="3" fontId="31" fillId="2" borderId="4" xfId="0" applyNumberFormat="1" applyFont="1" applyFill="1" applyBorder="1"/>
    <xf numFmtId="177" fontId="53" fillId="0" borderId="41" xfId="0" quotePrefix="1" applyNumberFormat="1" applyFont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 indent="1"/>
    </xf>
    <xf numFmtId="0" fontId="79" fillId="2" borderId="7" xfId="0" applyFont="1" applyFill="1" applyBorder="1" applyAlignment="1">
      <alignment horizontal="center" vertical="center" wrapText="1"/>
    </xf>
    <xf numFmtId="165" fontId="80" fillId="2" borderId="0" xfId="1" applyNumberFormat="1" applyFont="1" applyFill="1"/>
    <xf numFmtId="165" fontId="80" fillId="2" borderId="0" xfId="1" applyNumberFormat="1" applyFont="1" applyFill="1" applyAlignment="1">
      <alignment vertical="center"/>
    </xf>
    <xf numFmtId="165" fontId="80" fillId="2" borderId="8" xfId="1" applyNumberFormat="1" applyFont="1" applyFill="1" applyBorder="1" applyAlignment="1">
      <alignment vertical="center"/>
    </xf>
    <xf numFmtId="166" fontId="80" fillId="2" borderId="5" xfId="1" applyNumberFormat="1" applyFont="1" applyFill="1" applyBorder="1" applyAlignment="1">
      <alignment horizontal="right" vertical="center"/>
    </xf>
    <xf numFmtId="166" fontId="82" fillId="2" borderId="5" xfId="1" applyNumberFormat="1" applyFont="1" applyFill="1" applyBorder="1" applyAlignment="1">
      <alignment horizontal="right" vertical="center"/>
    </xf>
    <xf numFmtId="0" fontId="79" fillId="2" borderId="0" xfId="0" applyFont="1" applyFill="1" applyAlignment="1">
      <alignment horizontal="left" indent="1"/>
    </xf>
    <xf numFmtId="1" fontId="79" fillId="2" borderId="0" xfId="0" applyNumberFormat="1" applyFont="1" applyFill="1" applyAlignment="1">
      <alignment horizontal="right" vertical="center"/>
    </xf>
    <xf numFmtId="0" fontId="81" fillId="2" borderId="5" xfId="0" applyFont="1" applyFill="1" applyBorder="1"/>
    <xf numFmtId="0" fontId="83" fillId="2" borderId="1" xfId="0" applyFont="1" applyFill="1" applyBorder="1" applyAlignment="1">
      <alignment vertical="center"/>
    </xf>
    <xf numFmtId="0" fontId="84" fillId="2" borderId="1" xfId="0" applyFont="1" applyFill="1" applyBorder="1" applyAlignment="1">
      <alignment vertical="center"/>
    </xf>
    <xf numFmtId="0" fontId="82" fillId="2" borderId="2" xfId="0" applyFont="1" applyFill="1" applyBorder="1" applyAlignment="1">
      <alignment horizontal="center" vertical="center" wrapText="1"/>
    </xf>
    <xf numFmtId="0" fontId="85" fillId="2" borderId="0" xfId="0" applyFont="1" applyFill="1" applyAlignment="1">
      <alignment horizontal="left" vertical="center"/>
    </xf>
    <xf numFmtId="0" fontId="79" fillId="2" borderId="0" xfId="0" applyFont="1" applyFill="1" applyAlignment="1">
      <alignment horizontal="left" vertical="center"/>
    </xf>
    <xf numFmtId="165" fontId="80" fillId="2" borderId="3" xfId="1" applyNumberFormat="1" applyFont="1" applyFill="1" applyBorder="1"/>
    <xf numFmtId="165" fontId="86" fillId="2" borderId="3" xfId="1" applyNumberFormat="1" applyFont="1" applyFill="1" applyBorder="1"/>
    <xf numFmtId="0" fontId="87" fillId="2" borderId="0" xfId="0" applyFont="1" applyFill="1"/>
    <xf numFmtId="165" fontId="86" fillId="2" borderId="0" xfId="1" applyNumberFormat="1" applyFont="1" applyFill="1" applyAlignment="1">
      <alignment vertical="center"/>
    </xf>
    <xf numFmtId="165" fontId="86" fillId="2" borderId="0" xfId="1" applyNumberFormat="1" applyFont="1" applyFill="1"/>
    <xf numFmtId="165" fontId="80" fillId="2" borderId="4" xfId="1" applyNumberFormat="1" applyFont="1" applyFill="1" applyBorder="1"/>
    <xf numFmtId="165" fontId="86" fillId="2" borderId="4" xfId="1" applyNumberFormat="1" applyFont="1" applyFill="1" applyBorder="1"/>
    <xf numFmtId="165" fontId="85" fillId="2" borderId="0" xfId="1" applyNumberFormat="1" applyFont="1" applyFill="1"/>
    <xf numFmtId="0" fontId="4" fillId="2" borderId="16" xfId="0" applyFont="1" applyFill="1" applyBorder="1"/>
    <xf numFmtId="165" fontId="31" fillId="2" borderId="61" xfId="0" applyNumberFormat="1" applyFont="1" applyFill="1" applyBorder="1"/>
    <xf numFmtId="165" fontId="10" fillId="2" borderId="61" xfId="0" applyNumberFormat="1" applyFont="1" applyFill="1" applyBorder="1"/>
    <xf numFmtId="168" fontId="6" fillId="2" borderId="0" xfId="0" applyNumberFormat="1" applyFont="1" applyFill="1" applyAlignment="1" applyProtection="1">
      <alignment horizontal="right" vertical="center"/>
      <protection locked="0"/>
    </xf>
    <xf numFmtId="164" fontId="10" fillId="2" borderId="61" xfId="1" applyFont="1" applyFill="1" applyBorder="1"/>
    <xf numFmtId="164" fontId="10" fillId="2" borderId="16" xfId="1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 indent="1"/>
    </xf>
    <xf numFmtId="165" fontId="0" fillId="2" borderId="0" xfId="0" applyNumberFormat="1" applyFill="1"/>
    <xf numFmtId="168" fontId="6" fillId="12" borderId="62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quotePrefix="1" applyFont="1" applyFill="1" applyAlignment="1">
      <alignment horizontal="left" wrapText="1" indent="1"/>
    </xf>
    <xf numFmtId="3" fontId="28" fillId="2" borderId="0" xfId="0" applyNumberFormat="1" applyFont="1" applyFill="1"/>
    <xf numFmtId="0" fontId="88" fillId="2" borderId="0" xfId="0" applyFont="1" applyFill="1"/>
    <xf numFmtId="1" fontId="89" fillId="2" borderId="0" xfId="0" applyNumberFormat="1" applyFont="1" applyFill="1" applyAlignment="1">
      <alignment horizontal="right" vertical="center"/>
    </xf>
    <xf numFmtId="166" fontId="90" fillId="2" borderId="0" xfId="1" applyNumberFormat="1" applyFont="1" applyFill="1" applyAlignment="1">
      <alignment horizontal="right" vertical="center"/>
    </xf>
    <xf numFmtId="166" fontId="91" fillId="2" borderId="0" xfId="1" applyNumberFormat="1" applyFont="1" applyFill="1" applyAlignment="1">
      <alignment horizontal="right" vertical="center"/>
    </xf>
    <xf numFmtId="0" fontId="92" fillId="3" borderId="0" xfId="0" applyFont="1" applyFill="1" applyAlignment="1">
      <alignment horizontal="left" indent="1"/>
    </xf>
    <xf numFmtId="0" fontId="93" fillId="3" borderId="0" xfId="0" applyFont="1" applyFill="1"/>
    <xf numFmtId="166" fontId="92" fillId="3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left" indent="1"/>
    </xf>
    <xf numFmtId="0" fontId="17" fillId="0" borderId="0" xfId="0" applyFont="1"/>
    <xf numFmtId="166" fontId="16" fillId="0" borderId="0" xfId="0" applyNumberFormat="1" applyFont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0" fontId="92" fillId="0" borderId="0" xfId="0" applyFont="1" applyAlignment="1">
      <alignment horizontal="left" indent="1"/>
    </xf>
    <xf numFmtId="0" fontId="93" fillId="0" borderId="0" xfId="0" applyFont="1"/>
    <xf numFmtId="166" fontId="92" fillId="0" borderId="0" xfId="0" applyNumberFormat="1" applyFont="1" applyAlignment="1">
      <alignment horizontal="right" vertical="center"/>
    </xf>
    <xf numFmtId="166" fontId="94" fillId="0" borderId="0" xfId="0" applyNumberFormat="1" applyFont="1" applyAlignment="1">
      <alignment horizontal="right" vertical="center"/>
    </xf>
    <xf numFmtId="0" fontId="95" fillId="2" borderId="1" xfId="0" applyFont="1" applyFill="1" applyBorder="1" applyAlignment="1">
      <alignment vertical="center"/>
    </xf>
    <xf numFmtId="0" fontId="96" fillId="2" borderId="1" xfId="0" applyFont="1" applyFill="1" applyBorder="1" applyAlignment="1">
      <alignment vertical="center"/>
    </xf>
    <xf numFmtId="0" fontId="97" fillId="2" borderId="0" xfId="0" applyFont="1" applyFill="1" applyAlignment="1">
      <alignment horizontal="left" vertical="center" indent="1"/>
    </xf>
    <xf numFmtId="0" fontId="91" fillId="2" borderId="2" xfId="0" applyFont="1" applyFill="1" applyBorder="1" applyAlignment="1">
      <alignment horizontal="center" vertical="center" wrapText="1"/>
    </xf>
    <xf numFmtId="0" fontId="98" fillId="2" borderId="0" xfId="0" applyFont="1" applyFill="1" applyAlignment="1">
      <alignment horizontal="left" vertical="center"/>
    </xf>
    <xf numFmtId="165" fontId="90" fillId="2" borderId="3" xfId="1" applyNumberFormat="1" applyFont="1" applyFill="1" applyBorder="1"/>
    <xf numFmtId="165" fontId="99" fillId="2" borderId="3" xfId="1" applyNumberFormat="1" applyFont="1" applyFill="1" applyBorder="1"/>
    <xf numFmtId="0" fontId="100" fillId="2" borderId="0" xfId="0" applyFont="1" applyFill="1"/>
    <xf numFmtId="165" fontId="90" fillId="2" borderId="0" xfId="1" applyNumberFormat="1" applyFont="1" applyFill="1" applyAlignment="1">
      <alignment vertical="center"/>
    </xf>
    <xf numFmtId="165" fontId="90" fillId="2" borderId="0" xfId="1" applyNumberFormat="1" applyFont="1" applyFill="1"/>
    <xf numFmtId="165" fontId="90" fillId="2" borderId="4" xfId="1" applyNumberFormat="1" applyFont="1" applyFill="1" applyBorder="1"/>
    <xf numFmtId="165" fontId="99" fillId="2" borderId="0" xfId="1" applyNumberFormat="1" applyFont="1" applyFill="1"/>
    <xf numFmtId="165" fontId="98" fillId="2" borderId="0" xfId="1" applyNumberFormat="1" applyFont="1" applyFill="1"/>
    <xf numFmtId="0" fontId="24" fillId="2" borderId="43" xfId="0" applyFont="1" applyFill="1" applyBorder="1" applyAlignment="1">
      <alignment vertical="center" wrapText="1"/>
    </xf>
    <xf numFmtId="3" fontId="58" fillId="2" borderId="0" xfId="3" applyNumberFormat="1" applyFont="1" applyFill="1" applyAlignment="1" applyProtection="1">
      <alignment horizontal="center" vertical="center"/>
      <protection locked="0"/>
    </xf>
    <xf numFmtId="165" fontId="31" fillId="0" borderId="0" xfId="0" applyNumberFormat="1" applyFont="1"/>
    <xf numFmtId="179" fontId="39" fillId="2" borderId="0" xfId="1" applyNumberFormat="1" applyFont="1" applyFill="1" applyBorder="1"/>
    <xf numFmtId="179" fontId="9" fillId="0" borderId="4" xfId="0" applyNumberFormat="1" applyFont="1" applyBorder="1"/>
    <xf numFmtId="179" fontId="38" fillId="2" borderId="4" xfId="0" applyNumberFormat="1" applyFont="1" applyFill="1" applyBorder="1"/>
    <xf numFmtId="180" fontId="6" fillId="12" borderId="43" xfId="0" applyNumberFormat="1" applyFont="1" applyFill="1" applyBorder="1" applyAlignment="1">
      <alignment horizontal="right" vertical="center" wrapText="1"/>
    </xf>
    <xf numFmtId="0" fontId="37" fillId="2" borderId="0" xfId="3" applyFont="1" applyFill="1" applyAlignment="1" applyProtection="1">
      <alignment horizontal="center" vertical="center"/>
      <protection locked="0"/>
    </xf>
    <xf numFmtId="49" fontId="37" fillId="2" borderId="0" xfId="3" applyNumberFormat="1" applyFont="1" applyFill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 wrapText="1"/>
    </xf>
    <xf numFmtId="168" fontId="6" fillId="12" borderId="60" xfId="0" applyNumberFormat="1" applyFont="1" applyFill="1" applyBorder="1" applyAlignment="1" applyProtection="1">
      <alignment horizontal="right" vertical="center"/>
      <protection locked="0"/>
    </xf>
    <xf numFmtId="178" fontId="28" fillId="2" borderId="0" xfId="0" applyNumberFormat="1" applyFont="1" applyFill="1"/>
    <xf numFmtId="0" fontId="10" fillId="0" borderId="6" xfId="0" applyFont="1" applyBorder="1" applyAlignment="1">
      <alignment horizontal="center" vertical="center" wrapText="1"/>
    </xf>
    <xf numFmtId="175" fontId="28" fillId="2" borderId="0" xfId="0" applyNumberFormat="1" applyFont="1" applyFill="1"/>
    <xf numFmtId="181" fontId="0" fillId="2" borderId="0" xfId="0" applyNumberFormat="1" applyFill="1"/>
    <xf numFmtId="165" fontId="25" fillId="2" borderId="0" xfId="0" applyNumberFormat="1" applyFont="1" applyFill="1"/>
    <xf numFmtId="165" fontId="9" fillId="2" borderId="0" xfId="1" applyNumberFormat="1" applyFont="1" applyFill="1"/>
    <xf numFmtId="165" fontId="9" fillId="2" borderId="0" xfId="1" applyNumberFormat="1" applyFont="1" applyFill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98" fillId="2" borderId="9" xfId="0" applyFont="1" applyFill="1" applyBorder="1" applyAlignment="1">
      <alignment horizontal="center" vertical="center" wrapText="1"/>
    </xf>
    <xf numFmtId="0" fontId="85" fillId="2" borderId="9" xfId="0" applyFont="1" applyFill="1" applyBorder="1" applyAlignment="1">
      <alignment horizontal="center" vertical="center" wrapText="1"/>
    </xf>
    <xf numFmtId="0" fontId="31" fillId="4" borderId="0" xfId="0" applyFont="1" applyFill="1"/>
    <xf numFmtId="0" fontId="0" fillId="0" borderId="0" xfId="0"/>
    <xf numFmtId="0" fontId="0" fillId="2" borderId="43" xfId="0" applyFill="1" applyBorder="1"/>
    <xf numFmtId="0" fontId="0" fillId="0" borderId="43" xfId="0" applyBorder="1"/>
    <xf numFmtId="0" fontId="27" fillId="4" borderId="1" xfId="0" applyFont="1" applyFill="1" applyBorder="1" applyAlignment="1">
      <alignment horizontal="left" vertical="center"/>
    </xf>
    <xf numFmtId="0" fontId="0" fillId="0" borderId="1" xfId="0" applyBorder="1"/>
    <xf numFmtId="0" fontId="27" fillId="4" borderId="0" xfId="0" applyFont="1" applyFill="1" applyAlignment="1">
      <alignment horizontal="left" vertical="center"/>
    </xf>
    <xf numFmtId="0" fontId="27" fillId="4" borderId="59" xfId="0" applyFont="1" applyFill="1" applyBorder="1" applyAlignment="1">
      <alignment vertical="center"/>
    </xf>
    <xf numFmtId="0" fontId="0" fillId="4" borderId="1" xfId="0" applyFill="1" applyBorder="1"/>
  </cellXfs>
  <cellStyles count="994">
    <cellStyle name="20% - akcent 1 10" xfId="15" xr:uid="{51DE6250-B3A2-4A90-9BE6-4C7DA306C216}"/>
    <cellStyle name="20% - akcent 1 10 2" xfId="16" xr:uid="{36FCD9A2-2817-498C-8729-597B181E3C3E}"/>
    <cellStyle name="20% - akcent 1 10 2 2" xfId="17" xr:uid="{C7FFFA4C-D8F4-43CA-91E2-132305A39D1C}"/>
    <cellStyle name="20% - akcent 1 10 3" xfId="18" xr:uid="{A1AE63D3-CD83-43C9-AAD2-48BAA7A5CB7A}"/>
    <cellStyle name="20% - akcent 1 10_konsopro330" xfId="19" xr:uid="{8E271215-6A9C-4E1E-B65B-9D28DA88781B}"/>
    <cellStyle name="20% - akcent 1 11" xfId="20" xr:uid="{064A41CC-B3D6-4A6E-B381-AAE51359DB20}"/>
    <cellStyle name="20% - akcent 1 11 2" xfId="21" xr:uid="{EA87F8CC-C91E-41F1-96DC-29723FB1DB44}"/>
    <cellStyle name="20% - akcent 1 12" xfId="22" xr:uid="{13005F7D-92F4-480B-A857-73AD62101D73}"/>
    <cellStyle name="20% - akcent 1 2" xfId="23" xr:uid="{EBCBDC83-4B87-45B7-9956-E260E7BE298E}"/>
    <cellStyle name="20% — akcent 1 2" xfId="14" xr:uid="{C1368011-3CD6-4A3E-B5E3-E6870F1FDA98}"/>
    <cellStyle name="20% - akcent 1 2 2" xfId="24" xr:uid="{95C09833-B17E-46C1-ABA8-01BB5ACEE9BB}"/>
    <cellStyle name="20% - akcent 1 2 2 2" xfId="25" xr:uid="{24CA416E-B717-42FE-841A-235BBA61CAAF}"/>
    <cellStyle name="20% - akcent 1 2 3" xfId="26" xr:uid="{1FC609BB-F162-42D0-9B3E-D7B3EDCC8436}"/>
    <cellStyle name="20% - akcent 1 2_konsopro330" xfId="27" xr:uid="{FC621C12-35A5-4140-A934-FD6761BF5B91}"/>
    <cellStyle name="20% - akcent 1 3" xfId="28" xr:uid="{7195DFB4-AAA2-4097-A80C-10465F259941}"/>
    <cellStyle name="20% — akcent 1 3" xfId="956" xr:uid="{9C12638E-972E-4693-A8B5-9122022611CF}"/>
    <cellStyle name="20% - akcent 1 3 2" xfId="29" xr:uid="{74F6685B-3719-43A5-BE38-582A0A274BBA}"/>
    <cellStyle name="20% - akcent 1 3 2 2" xfId="30" xr:uid="{0BBE163E-E583-49F0-8D2B-4A03D4FC73B8}"/>
    <cellStyle name="20% - akcent 1 3 3" xfId="31" xr:uid="{A8C138EF-2CE8-45A1-B0E8-7064DF5C4C12}"/>
    <cellStyle name="20% - akcent 1 3_konsopro330" xfId="32" xr:uid="{B7487DE4-6939-4E37-94A8-9B0C9ADF5211}"/>
    <cellStyle name="20% - akcent 1 4" xfId="33" xr:uid="{9D3E1836-83F8-4954-8E5E-6EDB1F65CA5B}"/>
    <cellStyle name="20% — akcent 1 4" xfId="990" xr:uid="{E04688EF-ED23-4DDC-920F-E7CC479BD481}"/>
    <cellStyle name="20% - akcent 1 4 2" xfId="34" xr:uid="{B2857CF0-1F8D-4D4E-BEB0-632BE780B62C}"/>
    <cellStyle name="20% - akcent 1 4 2 2" xfId="35" xr:uid="{071BD850-765E-4910-B10A-858ECF322B4C}"/>
    <cellStyle name="20% - akcent 1 4 3" xfId="36" xr:uid="{6C855387-C249-4380-A042-902BADF923AD}"/>
    <cellStyle name="20% - akcent 1 4_konsopro330" xfId="37" xr:uid="{8D70E48D-2619-42FB-90AA-64D9D087EC1C}"/>
    <cellStyle name="20% - akcent 1 5" xfId="38" xr:uid="{8F8460F0-EA0E-4CD8-AD38-D195CD8E5378}"/>
    <cellStyle name="20% - akcent 1 5 2" xfId="39" xr:uid="{33543B81-27BC-4EB1-B476-6ACC2E7B33EE}"/>
    <cellStyle name="20% - akcent 1 5 2 2" xfId="40" xr:uid="{9826D2B8-56EB-41F7-B2EB-0CA9206E76AF}"/>
    <cellStyle name="20% - akcent 1 5 3" xfId="41" xr:uid="{A9F5A432-6D23-4426-90C0-82CD46B88E08}"/>
    <cellStyle name="20% - akcent 1 5_konsopro330" xfId="42" xr:uid="{B7185E68-6280-49DD-951A-DB89D7734C86}"/>
    <cellStyle name="20% - akcent 1 6" xfId="43" xr:uid="{B5FA11A4-1576-4573-B7CE-726A56F4D83C}"/>
    <cellStyle name="20% - akcent 1 6 2" xfId="44" xr:uid="{50F38F14-3052-4E98-9FF8-8A2D04BB4341}"/>
    <cellStyle name="20% - akcent 1 6 2 2" xfId="45" xr:uid="{DF2E4BA4-2943-407D-92D3-FE2B433DD885}"/>
    <cellStyle name="20% - akcent 1 6 3" xfId="46" xr:uid="{5F8B1469-AC31-4099-914B-37C9E13C137B}"/>
    <cellStyle name="20% - akcent 1 6_konsopro330" xfId="47" xr:uid="{ACEA7685-9852-400A-94B1-4BCD000C702E}"/>
    <cellStyle name="20% - akcent 1 7" xfId="48" xr:uid="{6A986E17-D382-4461-B070-1ED79B29652D}"/>
    <cellStyle name="20% - akcent 1 7 2" xfId="49" xr:uid="{C18C8AFA-4F3C-452A-BCFC-249A343D6117}"/>
    <cellStyle name="20% - akcent 1 7 2 2" xfId="50" xr:uid="{DF4C8999-EC02-4363-9C10-3296B3422B27}"/>
    <cellStyle name="20% - akcent 1 7 3" xfId="51" xr:uid="{6FBC5F3D-39BE-4BEF-AF6D-FBE0D1458AEB}"/>
    <cellStyle name="20% - akcent 1 7_konsopro330" xfId="52" xr:uid="{7542F9CA-4218-4576-A1EF-C6D91968C477}"/>
    <cellStyle name="20% - akcent 1 8" xfId="53" xr:uid="{B6778B3A-9B2C-4026-BAE0-BBCE497BD56A}"/>
    <cellStyle name="20% - akcent 1 8 2" xfId="54" xr:uid="{9E35DBF0-5DE9-43F4-81AD-788AD18ABCEC}"/>
    <cellStyle name="20% - akcent 1 8 2 2" xfId="55" xr:uid="{551C7FA3-B869-47CD-9B17-0592D3554992}"/>
    <cellStyle name="20% - akcent 1 8 3" xfId="56" xr:uid="{841B1411-5C86-49A9-A876-B499940F8FB0}"/>
    <cellStyle name="20% - akcent 1 8_konsopro330" xfId="57" xr:uid="{1CC6787B-6C2A-46FC-AA6D-2679FFBB7E12}"/>
    <cellStyle name="20% - akcent 1 9" xfId="58" xr:uid="{4D6B5E65-E9C1-447B-B83B-C97C2FE0A67F}"/>
    <cellStyle name="20% - akcent 1 9 2" xfId="59" xr:uid="{5DD60266-0788-4DD8-888A-B0852B257C74}"/>
    <cellStyle name="20% - akcent 1 9 2 2" xfId="60" xr:uid="{45BF310E-EDB7-447F-8E43-B39B6E88DB4E}"/>
    <cellStyle name="20% - akcent 1 9 3" xfId="61" xr:uid="{D131A7AE-65C1-4030-863A-E6BC3BDADB8A}"/>
    <cellStyle name="20% - akcent 1 9_konsopro330" xfId="62" xr:uid="{52782835-932E-4C53-B51E-8C896D9077C1}"/>
    <cellStyle name="20% - akcent 2 10" xfId="64" xr:uid="{92D6A7C7-703C-4AE7-8B5E-CB59439F0767}"/>
    <cellStyle name="20% - akcent 2 10 2" xfId="65" xr:uid="{7E3FCEAF-D9FD-469D-9C6C-457440B5DEAF}"/>
    <cellStyle name="20% - akcent 2 10 2 2" xfId="66" xr:uid="{24EBDDE9-DE2D-48F4-9FAF-83F7B6F6E9D9}"/>
    <cellStyle name="20% - akcent 2 10 3" xfId="67" xr:uid="{23003C31-B664-42DC-8E72-B0036FC79155}"/>
    <cellStyle name="20% - akcent 2 10_konsopro330" xfId="68" xr:uid="{510E987B-152C-46E6-812B-7BEB50420533}"/>
    <cellStyle name="20% - akcent 2 11" xfId="69" xr:uid="{A1701CA9-DA7C-4D5A-A286-92E3212BBCD4}"/>
    <cellStyle name="20% - akcent 2 11 2" xfId="70" xr:uid="{B4E2BE5A-DC8F-4361-BAF7-31CCABE750E0}"/>
    <cellStyle name="20% - akcent 2 12" xfId="71" xr:uid="{C6173702-72AC-4243-B12E-025157A24317}"/>
    <cellStyle name="20% - akcent 2 2" xfId="72" xr:uid="{D24B6D30-0453-4150-8EB0-B0CD86D76311}"/>
    <cellStyle name="20% — akcent 2 2" xfId="63" xr:uid="{C1A38E74-D1EC-4B5E-8E4D-C638626D7FD9}"/>
    <cellStyle name="20% - akcent 2 2 2" xfId="73" xr:uid="{50FA0942-4648-45D7-89CD-9FC875CBEA14}"/>
    <cellStyle name="20% - akcent 2 2 2 2" xfId="74" xr:uid="{4B18C240-BCBC-48CE-BA8C-F2B9883228E3}"/>
    <cellStyle name="20% - akcent 2 2 3" xfId="75" xr:uid="{3EAFDE16-AFFB-4A40-82F0-4E28715FEC7D}"/>
    <cellStyle name="20% - akcent 2 2_konsopro330" xfId="76" xr:uid="{BE662CBE-0E85-4B67-A238-51953F19E2B4}"/>
    <cellStyle name="20% - akcent 2 3" xfId="77" xr:uid="{53AB72F6-D301-4B86-8124-D666B348F6BC}"/>
    <cellStyle name="20% — akcent 2 3" xfId="957" xr:uid="{F42D76E7-D29C-4099-A620-1830F4D6D5E1}"/>
    <cellStyle name="20% - akcent 2 3 2" xfId="78" xr:uid="{C0F85334-2769-4B96-9AE9-A00E042C69B0}"/>
    <cellStyle name="20% - akcent 2 3 2 2" xfId="79" xr:uid="{469B2D84-3027-40A1-A78C-3CCE96372FEF}"/>
    <cellStyle name="20% - akcent 2 3 3" xfId="80" xr:uid="{672699AC-CA24-4CF6-BBE8-71E6A483E90B}"/>
    <cellStyle name="20% - akcent 2 3_konsopro330" xfId="81" xr:uid="{2C5DEF4D-C385-4FB1-BA4A-DE870EBFFBF1}"/>
    <cellStyle name="20% - akcent 2 4" xfId="82" xr:uid="{8C9220F7-7B38-4211-8E0C-A6095266C94F}"/>
    <cellStyle name="20% — akcent 2 4" xfId="989" xr:uid="{2624F0BE-C2D8-4E3D-81DB-22DFBDF96410}"/>
    <cellStyle name="20% - akcent 2 4 2" xfId="83" xr:uid="{251065DC-DB1D-4FC4-8997-7E5ED7B49324}"/>
    <cellStyle name="20% - akcent 2 4 2 2" xfId="84" xr:uid="{6C5FF699-BA34-4375-8AE3-757680B00160}"/>
    <cellStyle name="20% - akcent 2 4 3" xfId="85" xr:uid="{7B5FA52F-056F-40B3-A292-ACDAA32A80D1}"/>
    <cellStyle name="20% - akcent 2 4_konsopro330" xfId="86" xr:uid="{F60E4693-210D-4588-9F50-5AA70766945D}"/>
    <cellStyle name="20% - akcent 2 5" xfId="87" xr:uid="{1C7DCC79-F7FA-4033-BBDD-D8BE480C2E67}"/>
    <cellStyle name="20% - akcent 2 5 2" xfId="88" xr:uid="{1B4E29B9-C614-4F9F-B1D6-85EB5DA7135C}"/>
    <cellStyle name="20% - akcent 2 5 2 2" xfId="89" xr:uid="{790803C8-2B25-4B86-BAEA-369FF9C16211}"/>
    <cellStyle name="20% - akcent 2 5 3" xfId="90" xr:uid="{05CBB281-0B4C-4878-805D-1B717F1BD37D}"/>
    <cellStyle name="20% - akcent 2 5_konsopro330" xfId="91" xr:uid="{11FB9B0E-D644-4177-98AF-37EC8D9AA854}"/>
    <cellStyle name="20% - akcent 2 6" xfId="92" xr:uid="{65D2A73D-AED4-4EEE-B484-9C183BF8023E}"/>
    <cellStyle name="20% - akcent 2 6 2" xfId="93" xr:uid="{8ED17C93-2D7F-40BC-B854-F98AB4FA1C65}"/>
    <cellStyle name="20% - akcent 2 6 2 2" xfId="94" xr:uid="{9A4A2FB5-403E-49A8-80E3-C1307278C354}"/>
    <cellStyle name="20% - akcent 2 6 3" xfId="95" xr:uid="{A0C0B0B3-B46A-4D51-8E18-3B6CE738AAE8}"/>
    <cellStyle name="20% - akcent 2 6_konsopro330" xfId="96" xr:uid="{08F891FE-69D6-400E-8750-C43A575DFFF6}"/>
    <cellStyle name="20% - akcent 2 7" xfId="97" xr:uid="{B49F4E9B-2B68-4D5A-A2BC-54E43318199B}"/>
    <cellStyle name="20% - akcent 2 7 2" xfId="98" xr:uid="{F58130F9-C9D4-4A9A-986E-6ED9D0811E26}"/>
    <cellStyle name="20% - akcent 2 7 2 2" xfId="99" xr:uid="{24855F2C-1389-4C24-ABE5-F8718C846F93}"/>
    <cellStyle name="20% - akcent 2 7 3" xfId="100" xr:uid="{44031361-BB4E-4BE2-94D1-3A4AD04219B0}"/>
    <cellStyle name="20% - akcent 2 7_konsopro330" xfId="101" xr:uid="{2174A904-2043-4B26-854B-55E291810C5C}"/>
    <cellStyle name="20% - akcent 2 8" xfId="102" xr:uid="{13D55B32-F56D-4AFA-ADD7-91CAA2D7A37D}"/>
    <cellStyle name="20% - akcent 2 8 2" xfId="103" xr:uid="{4AD3B8A3-172D-4E6E-941B-1B55746B1BC4}"/>
    <cellStyle name="20% - akcent 2 8 2 2" xfId="104" xr:uid="{FE32333B-947E-4131-BEE6-9B91A4C38EC9}"/>
    <cellStyle name="20% - akcent 2 8 3" xfId="105" xr:uid="{36455BE6-78E4-4DA7-8C65-6F29F099D471}"/>
    <cellStyle name="20% - akcent 2 8_konsopro330" xfId="106" xr:uid="{30CBD065-CFAE-4CB2-BAA4-569A1006285E}"/>
    <cellStyle name="20% - akcent 2 9" xfId="107" xr:uid="{78ACCC82-D157-4384-83B5-CD8D68510C73}"/>
    <cellStyle name="20% - akcent 2 9 2" xfId="108" xr:uid="{62F915D8-D9F7-4806-88F5-A842BCF6CBA9}"/>
    <cellStyle name="20% - akcent 2 9 2 2" xfId="109" xr:uid="{43D798AA-BB4E-489F-9043-AD1B9716899F}"/>
    <cellStyle name="20% - akcent 2 9 3" xfId="110" xr:uid="{C3149C14-01EC-4039-B843-3F55AE984F42}"/>
    <cellStyle name="20% - akcent 2 9_konsopro330" xfId="111" xr:uid="{C6977912-80E3-4334-AF1C-C2E5461720B3}"/>
    <cellStyle name="20% - akcent 3 10" xfId="113" xr:uid="{3213EDA9-4E5F-4BD5-8F9C-A847DADEA53D}"/>
    <cellStyle name="20% - akcent 3 10 2" xfId="114" xr:uid="{6C96DCE4-E603-4260-8DD8-CDF40B9B0F30}"/>
    <cellStyle name="20% - akcent 3 10 2 2" xfId="115" xr:uid="{C95504A1-6864-4C9B-9135-E9BDCF0B8EC6}"/>
    <cellStyle name="20% - akcent 3 10 3" xfId="116" xr:uid="{B755B706-5534-4C58-B5DC-4B1439ACA3B0}"/>
    <cellStyle name="20% - akcent 3 10_konsopro330" xfId="117" xr:uid="{C3A2E93C-6ADE-41DA-AC14-2EB588EE94FC}"/>
    <cellStyle name="20% - akcent 3 11" xfId="118" xr:uid="{6766184A-EC74-4B5F-92A1-655DA9790B11}"/>
    <cellStyle name="20% - akcent 3 11 2" xfId="119" xr:uid="{F3EC5CF4-399E-4275-9E8B-0FF4E2E0FECE}"/>
    <cellStyle name="20% - akcent 3 12" xfId="120" xr:uid="{31BE388D-F921-414D-9C12-5696606B81F5}"/>
    <cellStyle name="20% - akcent 3 2" xfId="121" xr:uid="{C2DCB150-0F83-4CDF-909B-70A9155A0FE8}"/>
    <cellStyle name="20% — akcent 3 2" xfId="112" xr:uid="{C41BFF58-9F88-482F-9789-EE1F96B5D18A}"/>
    <cellStyle name="20% - akcent 3 2 2" xfId="122" xr:uid="{5842A976-54CF-4E2B-AB77-5ABD70BD59C5}"/>
    <cellStyle name="20% - akcent 3 2 2 2" xfId="123" xr:uid="{8491E8B8-8164-45F5-8E2C-3A954902283F}"/>
    <cellStyle name="20% - akcent 3 2 3" xfId="124" xr:uid="{1A252CB2-36DF-4D71-B434-8FD7966CA898}"/>
    <cellStyle name="20% - akcent 3 2_konsopro330" xfId="125" xr:uid="{BCA5D61D-312E-4EAD-A939-6AC849A8F179}"/>
    <cellStyle name="20% - akcent 3 3" xfId="126" xr:uid="{97554084-55E7-49BB-9CFB-4739FD229461}"/>
    <cellStyle name="20% — akcent 3 3" xfId="958" xr:uid="{C0D4497F-E2EC-441B-8DF2-0F695774882D}"/>
    <cellStyle name="20% - akcent 3 3 2" xfId="127" xr:uid="{5387D168-F32D-4780-AC2C-8CEAA732FECE}"/>
    <cellStyle name="20% - akcent 3 3 2 2" xfId="128" xr:uid="{C7F91B6A-DD56-446A-B430-FDEF777E78AC}"/>
    <cellStyle name="20% - akcent 3 3 3" xfId="129" xr:uid="{2F72E788-30EF-4168-88BC-26018BB38A74}"/>
    <cellStyle name="20% - akcent 3 3_konsopro330" xfId="130" xr:uid="{346431AA-E3D1-4261-96EA-D1085CFF93FD}"/>
    <cellStyle name="20% - akcent 3 4" xfId="131" xr:uid="{39FE3AA2-D57A-41A1-AF4C-606C32D81113}"/>
    <cellStyle name="20% — akcent 3 4" xfId="991" xr:uid="{DE46BDFC-EF8B-40F6-984C-7392B4FD8751}"/>
    <cellStyle name="20% - akcent 3 4 2" xfId="132" xr:uid="{1504F6C5-E96F-4DA1-BDC7-000746AB85E9}"/>
    <cellStyle name="20% - akcent 3 4 2 2" xfId="133" xr:uid="{633BFFEF-E98C-4944-9CF1-CCB546E4A799}"/>
    <cellStyle name="20% - akcent 3 4 3" xfId="134" xr:uid="{02D8EC36-9237-48AC-BAFD-31F25081BD03}"/>
    <cellStyle name="20% - akcent 3 4_konsopro330" xfId="135" xr:uid="{905CD25B-9BC7-47CE-AF3E-0E2DCEF2C4F9}"/>
    <cellStyle name="20% - akcent 3 5" xfId="136" xr:uid="{E2419E88-5F62-4288-A946-225C8FB83DEE}"/>
    <cellStyle name="20% - akcent 3 5 2" xfId="137" xr:uid="{3B9E5D4A-A249-4CDC-8EFE-C2B1E4735F8C}"/>
    <cellStyle name="20% - akcent 3 5 2 2" xfId="138" xr:uid="{F7FA8E22-EDF4-43DE-849A-3A105961A40E}"/>
    <cellStyle name="20% - akcent 3 5 3" xfId="139" xr:uid="{3AB584F7-05A0-4BCE-9C4F-FCCE0F8E0D7A}"/>
    <cellStyle name="20% - akcent 3 5_konsopro330" xfId="140" xr:uid="{3998C5C2-56D8-4979-BEB0-1A2EF00EF621}"/>
    <cellStyle name="20% - akcent 3 6" xfId="141" xr:uid="{CB3D6CC5-C6BF-4004-9B07-63A72EA01375}"/>
    <cellStyle name="20% - akcent 3 6 2" xfId="142" xr:uid="{0BB1BAB3-1AB2-4AD4-BE8E-306A5AD0E531}"/>
    <cellStyle name="20% - akcent 3 6 2 2" xfId="143" xr:uid="{F636A871-B1DB-498E-BC17-6C9CA83C0DA9}"/>
    <cellStyle name="20% - akcent 3 6 3" xfId="144" xr:uid="{83B3D6D2-3D02-4271-89D2-C0D8C1EF90A8}"/>
    <cellStyle name="20% - akcent 3 6_konsopro330" xfId="145" xr:uid="{C77F496A-D8FF-477F-8B9A-73907B9AB966}"/>
    <cellStyle name="20% - akcent 3 7" xfId="146" xr:uid="{69CED244-690D-42E2-A73D-834E90D63693}"/>
    <cellStyle name="20% - akcent 3 7 2" xfId="147" xr:uid="{8532C8C9-C6EB-4FE0-B92C-3E7F16CF0C2A}"/>
    <cellStyle name="20% - akcent 3 7 2 2" xfId="148" xr:uid="{BE7FAF6C-CFFF-4287-AED0-BF462C93836E}"/>
    <cellStyle name="20% - akcent 3 7 3" xfId="149" xr:uid="{A4B93F81-0AD4-4286-B035-4BC80077179E}"/>
    <cellStyle name="20% - akcent 3 7_konsopro330" xfId="150" xr:uid="{E01D530E-F0C7-4948-8868-CF06E835EA5F}"/>
    <cellStyle name="20% - akcent 3 8" xfId="151" xr:uid="{12AEEDA7-18FC-48B0-B5F6-D70F5817E525}"/>
    <cellStyle name="20% - akcent 3 8 2" xfId="152" xr:uid="{E022F450-4217-4705-8D60-6469B45B1787}"/>
    <cellStyle name="20% - akcent 3 8 2 2" xfId="153" xr:uid="{5DFB8CDE-86B7-4718-AC78-97C7ED738E08}"/>
    <cellStyle name="20% - akcent 3 8 3" xfId="154" xr:uid="{DD716D5C-48C8-4339-B939-CCA48243560A}"/>
    <cellStyle name="20% - akcent 3 8_konsopro330" xfId="155" xr:uid="{5696A131-5B83-4F1A-8048-E1FBD5A141C9}"/>
    <cellStyle name="20% - akcent 3 9" xfId="156" xr:uid="{A1A6D1F9-05C1-4EA6-B400-5498CEABB22C}"/>
    <cellStyle name="20% - akcent 3 9 2" xfId="157" xr:uid="{357CF007-AA72-4BA9-B812-937205EA0DFA}"/>
    <cellStyle name="20% - akcent 3 9 2 2" xfId="158" xr:uid="{97F80ABE-569B-4F84-8C8B-8686054A3C59}"/>
    <cellStyle name="20% - akcent 3 9 3" xfId="159" xr:uid="{3E4AD5A7-273C-4E5B-A702-66CBF4ECC062}"/>
    <cellStyle name="20% - akcent 3 9_konsopro330" xfId="160" xr:uid="{D52B6E92-4A19-45E5-960F-449F366CCF79}"/>
    <cellStyle name="20% - akcent 4 10" xfId="162" xr:uid="{0D8F1F8A-9090-4311-9504-E1C4BCEEB049}"/>
    <cellStyle name="20% - akcent 4 10 2" xfId="163" xr:uid="{5E56A16D-3CD6-46B6-BF55-89EDF7B3676B}"/>
    <cellStyle name="20% - akcent 4 10 2 2" xfId="164" xr:uid="{7BC8A928-A7AE-4939-91ED-7B23BABF61A9}"/>
    <cellStyle name="20% - akcent 4 10 3" xfId="165" xr:uid="{912D0226-A427-412D-B268-1D11F1E1ED68}"/>
    <cellStyle name="20% - akcent 4 10_konsopro330" xfId="166" xr:uid="{5EDEE3F1-7BE4-453A-A65D-8783A4ED60F0}"/>
    <cellStyle name="20% - akcent 4 11" xfId="167" xr:uid="{FE0F426E-AF27-428D-9890-0644541CEA14}"/>
    <cellStyle name="20% - akcent 4 11 2" xfId="168" xr:uid="{A437183B-53BC-40F9-B1F1-53A9CBCA1C30}"/>
    <cellStyle name="20% - akcent 4 12" xfId="169" xr:uid="{62EB970A-D140-41D6-89CB-4F99B50E8939}"/>
    <cellStyle name="20% - akcent 4 2" xfId="170" xr:uid="{4296E439-F604-4081-8745-41ACF5A2EB93}"/>
    <cellStyle name="20% — akcent 4 2" xfId="161" xr:uid="{FCD81F4D-D674-4743-8061-3607430B76A4}"/>
    <cellStyle name="20% - akcent 4 2 2" xfId="171" xr:uid="{087C81BE-7928-46BD-BE53-5ADE0A06B84F}"/>
    <cellStyle name="20% - akcent 4 2 2 2" xfId="172" xr:uid="{006C0806-1FD1-4A2F-ACBB-CE04CDFC4DC4}"/>
    <cellStyle name="20% - akcent 4 2 3" xfId="173" xr:uid="{CD59E74F-4870-49F6-A98E-C0DEA69BAE46}"/>
    <cellStyle name="20% - akcent 4 2_konsopro330" xfId="174" xr:uid="{BA72E26D-0C69-438F-A25B-6746DAE16FE2}"/>
    <cellStyle name="20% - akcent 4 3" xfId="175" xr:uid="{29D6F5E3-2741-433E-94C6-8EA951508993}"/>
    <cellStyle name="20% — akcent 4 3" xfId="959" xr:uid="{3919ABE6-879C-4F71-8B7C-EF6F0BE010B0}"/>
    <cellStyle name="20% - akcent 4 3 2" xfId="176" xr:uid="{C4C39514-2011-4D4A-A067-2954AE511E7A}"/>
    <cellStyle name="20% - akcent 4 3 2 2" xfId="177" xr:uid="{F3A560E2-491D-4211-9659-2F55C3691960}"/>
    <cellStyle name="20% - akcent 4 3 3" xfId="178" xr:uid="{80054CC4-B62E-486B-BB42-A53BAC295EDC}"/>
    <cellStyle name="20% - akcent 4 3_konsopro330" xfId="179" xr:uid="{823ABD12-FA71-4EF7-B353-636FBBA9572C}"/>
    <cellStyle name="20% - akcent 4 4" xfId="180" xr:uid="{33302B3A-4B63-48AE-A85D-4A6CFEAA9463}"/>
    <cellStyle name="20% — akcent 4 4" xfId="988" xr:uid="{7DD31EDB-DE9A-4D0A-AC61-48BF009694B6}"/>
    <cellStyle name="20% - akcent 4 4 2" xfId="181" xr:uid="{3B803B36-21F5-45A0-8E6D-69765A27ADEB}"/>
    <cellStyle name="20% - akcent 4 4 2 2" xfId="182" xr:uid="{E3B09638-B495-455D-88F5-1BB9C0BE091A}"/>
    <cellStyle name="20% - akcent 4 4 3" xfId="183" xr:uid="{6F2FB675-5A36-4186-B42B-ED97B1F8D49E}"/>
    <cellStyle name="20% - akcent 4 4_konsopro330" xfId="184" xr:uid="{AC04DC37-F38B-47E2-8651-AAC94E3A0D1B}"/>
    <cellStyle name="20% - akcent 4 5" xfId="185" xr:uid="{D6204621-2BF9-4649-9AC0-93F4A387B065}"/>
    <cellStyle name="20% - akcent 4 5 2" xfId="186" xr:uid="{4D419A1A-E6E9-42AD-99F0-26177368A9EF}"/>
    <cellStyle name="20% - akcent 4 5 2 2" xfId="187" xr:uid="{CE79BCEC-39A6-447E-8C36-1EB4F5A658B7}"/>
    <cellStyle name="20% - akcent 4 5 3" xfId="188" xr:uid="{0B256D5A-BDA4-4DDF-BF7D-08E8031A3A3E}"/>
    <cellStyle name="20% - akcent 4 5_konsopro330" xfId="189" xr:uid="{0FC5B1EA-7B45-42EB-9A9E-E38F5C067022}"/>
    <cellStyle name="20% - akcent 4 6" xfId="190" xr:uid="{92860159-0C2F-416E-8104-95B879ED8C8F}"/>
    <cellStyle name="20% - akcent 4 6 2" xfId="191" xr:uid="{175406D1-8F71-4604-95C1-C87A969C433C}"/>
    <cellStyle name="20% - akcent 4 6 2 2" xfId="192" xr:uid="{AB797E3A-4E0B-4ACF-B02E-BCD2DC36C343}"/>
    <cellStyle name="20% - akcent 4 6 3" xfId="193" xr:uid="{CEF14233-B669-4D94-BC29-A8B7C45E679E}"/>
    <cellStyle name="20% - akcent 4 6_konsopro330" xfId="194" xr:uid="{5EF02C06-AF6C-411E-A4EB-9CFCBF8DAF36}"/>
    <cellStyle name="20% - akcent 4 7" xfId="195" xr:uid="{BD79B418-8BAA-4196-9767-DDDEB6A03B45}"/>
    <cellStyle name="20% - akcent 4 7 2" xfId="196" xr:uid="{CE7E6FA2-3DF8-49F5-AD19-3A534CFD7ADD}"/>
    <cellStyle name="20% - akcent 4 7 2 2" xfId="197" xr:uid="{74ED2A98-5457-4121-B6C2-D1D397C1DF5D}"/>
    <cellStyle name="20% - akcent 4 7 3" xfId="198" xr:uid="{255C6B45-1D54-49C7-B451-419BDF24ED3F}"/>
    <cellStyle name="20% - akcent 4 7_konsopro330" xfId="199" xr:uid="{441391C5-6D67-4225-9EDA-56C7CD1A528B}"/>
    <cellStyle name="20% - akcent 4 8" xfId="200" xr:uid="{190CEAA2-F539-4264-9ABB-D739AD94E014}"/>
    <cellStyle name="20% - akcent 4 8 2" xfId="201" xr:uid="{4E9207F9-E993-450E-9954-4131B6A7844D}"/>
    <cellStyle name="20% - akcent 4 8 2 2" xfId="202" xr:uid="{F5B01D02-CA60-4374-AB7B-5FE69B44BB09}"/>
    <cellStyle name="20% - akcent 4 8 3" xfId="203" xr:uid="{BE68BDF1-A15D-46AD-9693-31C324595178}"/>
    <cellStyle name="20% - akcent 4 8_konsopro330" xfId="204" xr:uid="{FD03229E-C745-462E-B9CF-BFFD9BD66B3E}"/>
    <cellStyle name="20% - akcent 4 9" xfId="205" xr:uid="{57A8BCFB-3844-41C9-A640-AE72F0026A5B}"/>
    <cellStyle name="20% - akcent 4 9 2" xfId="206" xr:uid="{78A0CB42-5EAE-49DB-9990-16E60059E1CA}"/>
    <cellStyle name="20% - akcent 4 9 2 2" xfId="207" xr:uid="{05ACC589-A5D3-4B90-A152-C1AC9C97E58F}"/>
    <cellStyle name="20% - akcent 4 9 3" xfId="208" xr:uid="{1553A30E-7EF7-47E3-A57A-1DC6ABDB903F}"/>
    <cellStyle name="20% - akcent 4 9_konsopro330" xfId="209" xr:uid="{DCF55A6F-03A0-4A62-BC1A-10DD793189CC}"/>
    <cellStyle name="20% - akcent 5 10" xfId="211" xr:uid="{6CEE4FF2-C63B-4721-B20B-C91105F00A3E}"/>
    <cellStyle name="20% - akcent 5 10 2" xfId="212" xr:uid="{32913D9F-F1DD-4093-80C0-E273EF2C260B}"/>
    <cellStyle name="20% - akcent 5 10 2 2" xfId="213" xr:uid="{CF710CEA-6872-4333-9EAB-192202340710}"/>
    <cellStyle name="20% - akcent 5 10 3" xfId="214" xr:uid="{6098C152-9A86-4845-87DA-406F76DDD827}"/>
    <cellStyle name="20% - akcent 5 10_konsopro330" xfId="215" xr:uid="{98F69AF3-2683-48A7-998E-6520FCD85B21}"/>
    <cellStyle name="20% - akcent 5 11" xfId="216" xr:uid="{489E524B-261C-40EF-A4D8-2625D36A035E}"/>
    <cellStyle name="20% - akcent 5 11 2" xfId="217" xr:uid="{6DA31DD1-2419-4486-B285-D033300CC603}"/>
    <cellStyle name="20% - akcent 5 12" xfId="218" xr:uid="{9B311A3F-D30F-41F9-84ED-43CEC7A58A89}"/>
    <cellStyle name="20% - akcent 5 2" xfId="219" xr:uid="{FED5CACB-868C-4855-92AE-EAF858C97340}"/>
    <cellStyle name="20% — akcent 5 2" xfId="210" xr:uid="{B5C0639E-0A31-4677-9547-BDFD7498F6B1}"/>
    <cellStyle name="20% - akcent 5 2 2" xfId="220" xr:uid="{998D1C8E-0B88-47EC-A8D2-329A0211CFA8}"/>
    <cellStyle name="20% - akcent 5 2 2 2" xfId="221" xr:uid="{65BC07EC-2707-4369-8A24-58CBDE153327}"/>
    <cellStyle name="20% - akcent 5 2 3" xfId="222" xr:uid="{BC52432E-5C81-4AE7-9ACC-53D5E02C9551}"/>
    <cellStyle name="20% - akcent 5 2_konsopro330" xfId="223" xr:uid="{D4CB9CBA-6FD8-4229-9E88-E8BC9125D698}"/>
    <cellStyle name="20% - akcent 5 3" xfId="224" xr:uid="{B7F25950-943E-4CE1-BCC6-1A1F298FB6C5}"/>
    <cellStyle name="20% — akcent 5 3" xfId="960" xr:uid="{9EC5FB6C-6324-4E28-B64E-069682A8C249}"/>
    <cellStyle name="20% - akcent 5 3 2" xfId="225" xr:uid="{6DFEC4F6-B330-4584-A30D-75AAFAB28912}"/>
    <cellStyle name="20% - akcent 5 3 2 2" xfId="226" xr:uid="{65B0CA3B-AF80-4749-BD20-3A3D50006BC3}"/>
    <cellStyle name="20% - akcent 5 3 3" xfId="227" xr:uid="{94797188-768D-4199-A50B-EF946188641B}"/>
    <cellStyle name="20% - akcent 5 3_konsopro330" xfId="228" xr:uid="{C5E96E40-7B8A-4531-BCC2-A063897365A1}"/>
    <cellStyle name="20% - akcent 5 4" xfId="229" xr:uid="{B71A8172-79EA-48D2-8C4D-0F99641A2535}"/>
    <cellStyle name="20% — akcent 5 4" xfId="987" xr:uid="{1A4ED521-E081-4505-AE15-2605BE87AA47}"/>
    <cellStyle name="20% - akcent 5 4 2" xfId="230" xr:uid="{4DF04C9E-66AF-49AD-86CB-BF6FD322240C}"/>
    <cellStyle name="20% - akcent 5 4 2 2" xfId="231" xr:uid="{76052020-199E-450B-B4C3-754CCC797410}"/>
    <cellStyle name="20% - akcent 5 4 3" xfId="232" xr:uid="{6A1A06A2-CAB7-469E-BD2D-7FF7E429B56E}"/>
    <cellStyle name="20% - akcent 5 4_konsopro330" xfId="233" xr:uid="{A34CAFA6-345C-40FC-9D72-AC7464F89365}"/>
    <cellStyle name="20% - akcent 5 5" xfId="234" xr:uid="{0511545E-9F52-436B-AA28-366C1877140E}"/>
    <cellStyle name="20% - akcent 5 5 2" xfId="235" xr:uid="{9DEB0811-C544-4DA8-9734-50542DD5DE6F}"/>
    <cellStyle name="20% - akcent 5 5 2 2" xfId="236" xr:uid="{F9116D24-A375-4DCB-9D00-7949BDA3986D}"/>
    <cellStyle name="20% - akcent 5 5 3" xfId="237" xr:uid="{54FB3F75-4D95-42B4-BC76-97C4159AEC44}"/>
    <cellStyle name="20% - akcent 5 5_konsopro330" xfId="238" xr:uid="{C84EC833-382A-4921-9874-C469ABDB33E9}"/>
    <cellStyle name="20% - akcent 5 6" xfId="239" xr:uid="{839A2CDD-8894-4491-8D1B-24166E04480C}"/>
    <cellStyle name="20% - akcent 5 6 2" xfId="240" xr:uid="{F9F000E9-0A39-4F57-B707-98E6AB4B5F46}"/>
    <cellStyle name="20% - akcent 5 6 2 2" xfId="241" xr:uid="{58A66049-E96B-4A89-A2EA-15B9F2F11A13}"/>
    <cellStyle name="20% - akcent 5 6 3" xfId="242" xr:uid="{07F61CF6-4B10-4EEB-9118-35B9B94232E1}"/>
    <cellStyle name="20% - akcent 5 6_konsopro330" xfId="243" xr:uid="{CD662650-AFB5-40D2-98A9-3B8080A646EA}"/>
    <cellStyle name="20% - akcent 5 7" xfId="244" xr:uid="{9EB2FA41-89ED-448E-91A0-E5B9CA49AD12}"/>
    <cellStyle name="20% - akcent 5 7 2" xfId="245" xr:uid="{C35822DA-49F3-449F-9E99-3A1BA6C51FA9}"/>
    <cellStyle name="20% - akcent 5 7 2 2" xfId="246" xr:uid="{B24BFF82-61BD-420F-86B9-49ED4896395B}"/>
    <cellStyle name="20% - akcent 5 7 3" xfId="247" xr:uid="{43D708F8-4F6B-4CD9-BDE4-ACDA41F4BF65}"/>
    <cellStyle name="20% - akcent 5 7_konsopro330" xfId="248" xr:uid="{116ABA1B-B363-4E09-B67A-6FB4EAF1CB68}"/>
    <cellStyle name="20% - akcent 5 8" xfId="249" xr:uid="{F11D4C4D-150A-4C9E-915A-8A581D150547}"/>
    <cellStyle name="20% - akcent 5 8 2" xfId="250" xr:uid="{B5066BDE-8CAA-422F-8A2E-431657EE06AF}"/>
    <cellStyle name="20% - akcent 5 8 2 2" xfId="251" xr:uid="{612CC3DD-B703-482D-B28B-F835A6B88DD9}"/>
    <cellStyle name="20% - akcent 5 8 3" xfId="252" xr:uid="{579F72A7-7125-47ED-84A3-972ED66786AD}"/>
    <cellStyle name="20% - akcent 5 8_konsopro330" xfId="253" xr:uid="{053996FC-6378-4C08-AE03-A9E24E61CCC6}"/>
    <cellStyle name="20% - akcent 5 9" xfId="254" xr:uid="{724AF0D6-5391-4350-B6AF-46FE0BC4C5D8}"/>
    <cellStyle name="20% - akcent 5 9 2" xfId="255" xr:uid="{DA3DB666-3436-4207-982E-3D799A8CCEBF}"/>
    <cellStyle name="20% - akcent 5 9 2 2" xfId="256" xr:uid="{CEB37AAC-7325-40DB-A17A-7E7B76512BF9}"/>
    <cellStyle name="20% - akcent 5 9 3" xfId="257" xr:uid="{698F2D03-8C2A-4726-BCBA-30B27CEEAD65}"/>
    <cellStyle name="20% - akcent 5 9_konsopro330" xfId="258" xr:uid="{BD67CA67-E608-405B-B6BF-C7E0D8B4A7AD}"/>
    <cellStyle name="20% - akcent 6 10" xfId="260" xr:uid="{6708E12F-4F31-406A-BE6A-6F2DD4A30925}"/>
    <cellStyle name="20% - akcent 6 10 2" xfId="261" xr:uid="{8939D923-4F65-4B58-A7B7-18DE74725E92}"/>
    <cellStyle name="20% - akcent 6 10 2 2" xfId="262" xr:uid="{5D3F4FBC-A81D-4E77-AAF2-943B943FCC97}"/>
    <cellStyle name="20% - akcent 6 10 3" xfId="263" xr:uid="{DD479E1C-C5E2-43F9-9B47-FA318484E7E3}"/>
    <cellStyle name="20% - akcent 6 10_konsopro330" xfId="264" xr:uid="{3BB30D97-F489-4642-908E-5C66CBEA98F9}"/>
    <cellStyle name="20% - akcent 6 11" xfId="265" xr:uid="{7699598B-E4E6-4E55-B398-9FC222B1A43C}"/>
    <cellStyle name="20% - akcent 6 11 2" xfId="266" xr:uid="{9C97D3B4-D707-49CD-89B7-A9A0A01B7645}"/>
    <cellStyle name="20% - akcent 6 12" xfId="267" xr:uid="{6BB251E5-5BD8-4F58-BF92-C0AD3DF59597}"/>
    <cellStyle name="20% - akcent 6 2" xfId="268" xr:uid="{4938FE15-A70B-42AE-92D1-7E211AC5E0C9}"/>
    <cellStyle name="20% — akcent 6 2" xfId="259" xr:uid="{0CAFDF3B-5E79-42D8-A211-0C18169E3973}"/>
    <cellStyle name="20% - akcent 6 2 2" xfId="269" xr:uid="{D6AEA6C2-6254-4CC0-B626-2322E8D9C7F9}"/>
    <cellStyle name="20% - akcent 6 2 2 2" xfId="270" xr:uid="{6DD889F4-3D7B-4063-982B-8C0A9EACB3B2}"/>
    <cellStyle name="20% - akcent 6 2 3" xfId="271" xr:uid="{6F30B248-3820-4F1A-8402-D8CCF84E5D7C}"/>
    <cellStyle name="20% - akcent 6 2_konsopro330" xfId="272" xr:uid="{AF8855F5-7409-4605-8F9E-5C2C903790DF}"/>
    <cellStyle name="20% - akcent 6 3" xfId="273" xr:uid="{11B42AAE-DD96-4DAA-9B0D-FEB9D7626668}"/>
    <cellStyle name="20% — akcent 6 3" xfId="961" xr:uid="{CA5F30ED-8038-469A-A385-060DDB3A0F1D}"/>
    <cellStyle name="20% - akcent 6 3 2" xfId="274" xr:uid="{2E420C3A-CFAA-4105-BF6B-A81C0E7115A1}"/>
    <cellStyle name="20% - akcent 6 3 2 2" xfId="275" xr:uid="{D3A17F93-6D2E-442E-B91B-5F8F513B54EE}"/>
    <cellStyle name="20% - akcent 6 3 3" xfId="276" xr:uid="{8EE1301B-0423-4669-B715-D02256625E8B}"/>
    <cellStyle name="20% - akcent 6 3_konsopro330" xfId="277" xr:uid="{3FCABDEC-7374-4F05-8932-52332BE56B92}"/>
    <cellStyle name="20% - akcent 6 4" xfId="278" xr:uid="{04F4B5B1-4A32-45DD-8601-82AC8BDB580E}"/>
    <cellStyle name="20% — akcent 6 4" xfId="986" xr:uid="{E52B2AE4-44FA-4AFB-A49B-4596CE0BE451}"/>
    <cellStyle name="20% - akcent 6 4 2" xfId="279" xr:uid="{D5C050E3-A232-4141-9426-B7B35B4C1F75}"/>
    <cellStyle name="20% - akcent 6 4 2 2" xfId="280" xr:uid="{C9AA5B1F-4257-4BC7-A6A5-957CF295885F}"/>
    <cellStyle name="20% - akcent 6 4 3" xfId="281" xr:uid="{D1F1DD44-B614-4D57-8DAE-992F509B9423}"/>
    <cellStyle name="20% - akcent 6 4_konsopro330" xfId="282" xr:uid="{BB8254FF-C0F4-489C-B42B-650AEC56781E}"/>
    <cellStyle name="20% - akcent 6 5" xfId="283" xr:uid="{9EBB4B69-A915-42A9-B4D3-7FA6CCD2D5DE}"/>
    <cellStyle name="20% - akcent 6 5 2" xfId="284" xr:uid="{3A6D3D4C-128E-4950-A9BA-FD4A877B6943}"/>
    <cellStyle name="20% - akcent 6 5 2 2" xfId="285" xr:uid="{0B577A50-E27F-40BB-8957-13A3F84D287C}"/>
    <cellStyle name="20% - akcent 6 5 3" xfId="286" xr:uid="{8C249724-C240-42E0-A0C1-E4BD12BE8F60}"/>
    <cellStyle name="20% - akcent 6 5_konsopro330" xfId="287" xr:uid="{693B8E63-3546-41FA-AB90-F94A3BDD522F}"/>
    <cellStyle name="20% - akcent 6 6" xfId="288" xr:uid="{3CDE935A-8CEA-4464-8D9A-2F05076DCDE8}"/>
    <cellStyle name="20% - akcent 6 6 2" xfId="289" xr:uid="{D0559B93-00C4-4BF4-9AF5-36FFF6F0E58D}"/>
    <cellStyle name="20% - akcent 6 6 2 2" xfId="290" xr:uid="{D35A8FAD-BF01-4396-8565-00158AAC21D3}"/>
    <cellStyle name="20% - akcent 6 6 3" xfId="291" xr:uid="{D741ED6B-46FC-4394-8914-5AA2C8C6AE53}"/>
    <cellStyle name="20% - akcent 6 6_konsopro330" xfId="292" xr:uid="{D3045301-ACB7-477E-93C8-F58B3B7F97C2}"/>
    <cellStyle name="20% - akcent 6 7" xfId="293" xr:uid="{47295CF6-DE19-4D01-9C1E-AAE02C65A801}"/>
    <cellStyle name="20% - akcent 6 7 2" xfId="294" xr:uid="{1FA2270B-541C-41B5-87AA-7B015E559F5F}"/>
    <cellStyle name="20% - akcent 6 7 2 2" xfId="295" xr:uid="{927E2560-CD48-4EBE-AAFC-F520EF79164A}"/>
    <cellStyle name="20% - akcent 6 7 3" xfId="296" xr:uid="{D03D981F-FA41-41C7-8073-4487B66BC7E0}"/>
    <cellStyle name="20% - akcent 6 7_konsopro330" xfId="297" xr:uid="{98047A6E-E57E-415C-A312-27B51CC1812F}"/>
    <cellStyle name="20% - akcent 6 8" xfId="298" xr:uid="{2AA7A5FB-7892-4306-AE7D-174AAC53E48D}"/>
    <cellStyle name="20% - akcent 6 8 2" xfId="299" xr:uid="{A2957036-28B8-450D-B915-32885A324083}"/>
    <cellStyle name="20% - akcent 6 8 2 2" xfId="300" xr:uid="{3275AF14-DA1D-4E03-9CC8-4BA2E30122C1}"/>
    <cellStyle name="20% - akcent 6 8 3" xfId="301" xr:uid="{17B69B09-F7DF-494C-A936-0AACE96ECA07}"/>
    <cellStyle name="20% - akcent 6 8_konsopro330" xfId="302" xr:uid="{8F4958BF-2DB5-43F1-9CF0-CEE96F051D1C}"/>
    <cellStyle name="20% - akcent 6 9" xfId="303" xr:uid="{C155A701-A888-45FB-8171-609CBE36E6CD}"/>
    <cellStyle name="20% - akcent 6 9 2" xfId="304" xr:uid="{C8D9398E-F04B-4E3D-AD04-C1C8D04232F9}"/>
    <cellStyle name="20% - akcent 6 9 2 2" xfId="305" xr:uid="{E31AE08C-0F7A-4F71-A6D0-DB0B37097E1B}"/>
    <cellStyle name="20% - akcent 6 9 3" xfId="306" xr:uid="{F614D700-A029-4ECD-8512-0454DAEF799A}"/>
    <cellStyle name="20% - akcent 6 9_konsopro330" xfId="307" xr:uid="{3106EFA2-50E7-42BA-AEB6-1357689880C9}"/>
    <cellStyle name="40% - akcent 1 10" xfId="309" xr:uid="{9B07708A-4E0B-440D-9A10-D6EC35D8D2E6}"/>
    <cellStyle name="40% - akcent 1 10 2" xfId="310" xr:uid="{E225FAF1-E496-4662-8111-443502E7E6F4}"/>
    <cellStyle name="40% - akcent 1 10 2 2" xfId="311" xr:uid="{234656A9-EC27-4C59-982D-D5EADEDD795B}"/>
    <cellStyle name="40% - akcent 1 10 3" xfId="312" xr:uid="{1E402F67-431A-4DF3-8B35-154E7008DA3C}"/>
    <cellStyle name="40% - akcent 1 10_konsopro330" xfId="313" xr:uid="{245794AA-3B18-4A25-A9DD-2FD4D9AC6FC7}"/>
    <cellStyle name="40% - akcent 1 11" xfId="314" xr:uid="{BDBC29D0-C8AF-41DB-9505-0DF34CC1B771}"/>
    <cellStyle name="40% - akcent 1 11 2" xfId="315" xr:uid="{7A42794C-6C84-414B-9FC6-13F73D22C843}"/>
    <cellStyle name="40% - akcent 1 12" xfId="316" xr:uid="{93491977-F87C-4009-8921-2811F119E1C7}"/>
    <cellStyle name="40% - akcent 1 2" xfId="317" xr:uid="{42D81E4E-6164-4AE2-9A37-8670083B43A1}"/>
    <cellStyle name="40% — akcent 1 2" xfId="308" xr:uid="{181225EA-156B-449E-8AB4-B38C5A901CE8}"/>
    <cellStyle name="40% - akcent 1 2 2" xfId="318" xr:uid="{A6B2BDD4-9CFB-42A1-9D72-4C17985B8137}"/>
    <cellStyle name="40% - akcent 1 2 2 2" xfId="319" xr:uid="{B62F1B96-28A0-4B58-B576-FDE6C2668FB1}"/>
    <cellStyle name="40% - akcent 1 2 3" xfId="320" xr:uid="{CB14FD09-37CD-4B22-B357-7DC86E926A65}"/>
    <cellStyle name="40% - akcent 1 2_konsopro330" xfId="321" xr:uid="{67F414D2-BC61-476E-A277-28CFFBE71325}"/>
    <cellStyle name="40% - akcent 1 3" xfId="322" xr:uid="{5A1DA23E-6D3E-415E-B896-962D945818FD}"/>
    <cellStyle name="40% — akcent 1 3" xfId="962" xr:uid="{73C69ED7-A4C2-4C53-AE0C-08856B3B1205}"/>
    <cellStyle name="40% - akcent 1 3 2" xfId="323" xr:uid="{C9C6B43E-131E-4216-A804-65B8E68F6B0E}"/>
    <cellStyle name="40% - akcent 1 3 2 2" xfId="324" xr:uid="{C03FC0A9-A37D-4758-AA1A-4B5DB443B4CC}"/>
    <cellStyle name="40% - akcent 1 3 3" xfId="325" xr:uid="{60EC9B61-6647-4A71-9306-66776015D829}"/>
    <cellStyle name="40% - akcent 1 3_konsopro330" xfId="326" xr:uid="{17319312-E6E1-427E-A831-453DD8ACF6A8}"/>
    <cellStyle name="40% - akcent 1 4" xfId="327" xr:uid="{4475FB12-DF52-4555-893A-B384EFE3E62E}"/>
    <cellStyle name="40% — akcent 1 4" xfId="985" xr:uid="{EED471A1-8CB3-4805-B1B9-09580431DEBC}"/>
    <cellStyle name="40% - akcent 1 4 2" xfId="328" xr:uid="{C5A16075-DCE6-4A4B-8DE8-7010D3A44B0C}"/>
    <cellStyle name="40% - akcent 1 4 2 2" xfId="329" xr:uid="{0A684585-3830-43E7-A818-485985091AA6}"/>
    <cellStyle name="40% - akcent 1 4 3" xfId="330" xr:uid="{F888B554-AC1F-4565-B153-AFF5023589F5}"/>
    <cellStyle name="40% - akcent 1 4_konsopro330" xfId="331" xr:uid="{6C9BF11D-35C2-41A2-80FD-098A80021C4E}"/>
    <cellStyle name="40% - akcent 1 5" xfId="332" xr:uid="{D084FA1A-A3F2-4509-AB1B-15C4702D522A}"/>
    <cellStyle name="40% - akcent 1 5 2" xfId="333" xr:uid="{A10A8E0A-ACA6-49D7-BB67-92E00F1EC116}"/>
    <cellStyle name="40% - akcent 1 5 2 2" xfId="334" xr:uid="{745446DC-7C99-453B-AB5D-CF13BDDA9D8B}"/>
    <cellStyle name="40% - akcent 1 5 3" xfId="335" xr:uid="{AD063D8F-EDF8-45D5-A2DA-092E92F3F8C5}"/>
    <cellStyle name="40% - akcent 1 5_konsopro330" xfId="336" xr:uid="{F5E159F3-33BD-4849-B36B-5FB75077AD3D}"/>
    <cellStyle name="40% - akcent 1 6" xfId="337" xr:uid="{C75FF20E-DAA4-4657-9B5D-97A4413AAFB5}"/>
    <cellStyle name="40% - akcent 1 6 2" xfId="338" xr:uid="{10C87F45-DF41-490B-A5DF-99E0CAFF7841}"/>
    <cellStyle name="40% - akcent 1 6 2 2" xfId="339" xr:uid="{9E273721-3FBF-4986-AC89-B9D7D7097E7F}"/>
    <cellStyle name="40% - akcent 1 6 3" xfId="340" xr:uid="{1B682F93-9791-4F36-8FF4-722EBDB9394F}"/>
    <cellStyle name="40% - akcent 1 6_konsopro330" xfId="341" xr:uid="{F9F71BE6-97C7-4B6F-A104-797972AFEDE2}"/>
    <cellStyle name="40% - akcent 1 7" xfId="342" xr:uid="{79182651-E9B6-40D5-B80D-F8D360397358}"/>
    <cellStyle name="40% - akcent 1 7 2" xfId="343" xr:uid="{09B13FD1-A478-47C8-A315-9102F5ED0FE1}"/>
    <cellStyle name="40% - akcent 1 7 2 2" xfId="344" xr:uid="{169ADB2B-370F-4227-887C-6D62F0011180}"/>
    <cellStyle name="40% - akcent 1 7 3" xfId="345" xr:uid="{C04D130F-A507-44EC-B339-CAAC7954FFD6}"/>
    <cellStyle name="40% - akcent 1 7_konsopro330" xfId="346" xr:uid="{D9C5C296-3193-4208-8B87-1A3B3C19C833}"/>
    <cellStyle name="40% - akcent 1 8" xfId="347" xr:uid="{5B0F0E81-F034-4BAE-BA5D-4D0442583591}"/>
    <cellStyle name="40% - akcent 1 8 2" xfId="348" xr:uid="{DEEAA295-30BF-47D9-A2B3-FDB06E4361D9}"/>
    <cellStyle name="40% - akcent 1 8 2 2" xfId="349" xr:uid="{F11C8282-FAD6-4314-AC4B-8C6DC7199D4F}"/>
    <cellStyle name="40% - akcent 1 8 3" xfId="350" xr:uid="{223221D8-D40A-47BB-B1F6-96E1F1F879D0}"/>
    <cellStyle name="40% - akcent 1 8_konsopro330" xfId="351" xr:uid="{C5A1608A-0014-4519-A8D6-A98AF655F150}"/>
    <cellStyle name="40% - akcent 1 9" xfId="352" xr:uid="{1899E8E8-62B0-45BE-ADC9-7C7D7D3033D3}"/>
    <cellStyle name="40% - akcent 1 9 2" xfId="353" xr:uid="{F4A4946E-BD93-4CD6-B598-0E690E5B4AA5}"/>
    <cellStyle name="40% - akcent 1 9 2 2" xfId="354" xr:uid="{3A91DEB9-CB15-4CBE-8CDE-0420844E43E0}"/>
    <cellStyle name="40% - akcent 1 9 3" xfId="355" xr:uid="{638ACE39-EB03-434E-8743-5EEC347A8738}"/>
    <cellStyle name="40% - akcent 1 9_konsopro330" xfId="356" xr:uid="{CB0D0976-B9D4-4CDA-A1EE-A1D2C722C702}"/>
    <cellStyle name="40% - akcent 2 10" xfId="358" xr:uid="{7B2BCF23-BB53-4931-8839-800AF5FB8E71}"/>
    <cellStyle name="40% - akcent 2 10 2" xfId="359" xr:uid="{FEF72E40-E5ED-4D70-83EC-FDD070F5B485}"/>
    <cellStyle name="40% - akcent 2 10 2 2" xfId="360" xr:uid="{ED85E0A0-90E4-421B-99F3-4712015F742D}"/>
    <cellStyle name="40% - akcent 2 10 3" xfId="361" xr:uid="{B0E6F17D-A9D4-43F9-BA27-7D9342E5093C}"/>
    <cellStyle name="40% - akcent 2 10_konsopro330" xfId="362" xr:uid="{B6DCC08B-FCFE-4229-96E5-401E5D96B738}"/>
    <cellStyle name="40% - akcent 2 11" xfId="363" xr:uid="{1E9D9615-F51A-430A-A38C-7DD35B4FE4D8}"/>
    <cellStyle name="40% - akcent 2 11 2" xfId="364" xr:uid="{DF7405CF-8D07-4B6D-97F1-5C71ED46CF6B}"/>
    <cellStyle name="40% - akcent 2 12" xfId="365" xr:uid="{BC5D1AD7-3E5A-4809-A1E5-3770B1845177}"/>
    <cellStyle name="40% - akcent 2 2" xfId="366" xr:uid="{EF45F462-9EC2-4A7B-9C0F-026BFB879118}"/>
    <cellStyle name="40% — akcent 2 2" xfId="357" xr:uid="{596EC403-B5D2-400E-BF34-B17E97D86105}"/>
    <cellStyle name="40% - akcent 2 2 2" xfId="367" xr:uid="{718BF464-2F2B-4162-9C73-DEDB13D295A7}"/>
    <cellStyle name="40% - akcent 2 2 2 2" xfId="368" xr:uid="{E9908A51-6238-4F29-8F0D-BF319084A92D}"/>
    <cellStyle name="40% - akcent 2 2 3" xfId="369" xr:uid="{FCDEFA99-2159-4584-B3BA-E912D21D2EBC}"/>
    <cellStyle name="40% - akcent 2 2_konsopro330" xfId="370" xr:uid="{94F32C94-44DB-46D9-9A86-4114342CF52C}"/>
    <cellStyle name="40% - akcent 2 3" xfId="371" xr:uid="{22FCBCB4-3B18-4E1D-84B0-F965F7489925}"/>
    <cellStyle name="40% — akcent 2 3" xfId="968" xr:uid="{87C3E8D4-CD89-4F6D-95F2-F0A52D180F8E}"/>
    <cellStyle name="40% - akcent 2 3 2" xfId="372" xr:uid="{D6F3D5D4-7153-403E-99E1-7F62825A2039}"/>
    <cellStyle name="40% - akcent 2 3 2 2" xfId="373" xr:uid="{571E2368-7BCD-42BF-803E-CD9B7FC32B74}"/>
    <cellStyle name="40% - akcent 2 3 3" xfId="374" xr:uid="{618E009A-4F6F-4EA0-BE70-F4BBDEE15503}"/>
    <cellStyle name="40% - akcent 2 3_konsopro330" xfId="375" xr:uid="{8182AFD0-FC9D-4335-8AD7-1638F7AFFCE7}"/>
    <cellStyle name="40% - akcent 2 4" xfId="376" xr:uid="{7D66B834-613C-4AC2-A66C-7A647E0881B5}"/>
    <cellStyle name="40% — akcent 2 4" xfId="980" xr:uid="{CC4637C7-7953-4A29-BC4C-DDB39D8BEDCE}"/>
    <cellStyle name="40% - akcent 2 4 2" xfId="377" xr:uid="{5D3C5F70-9BCC-4300-99CC-8F3DB8AF104C}"/>
    <cellStyle name="40% - akcent 2 4 2 2" xfId="378" xr:uid="{D1B7A41F-6BBA-4C09-8F0A-DED80A3D505F}"/>
    <cellStyle name="40% - akcent 2 4 3" xfId="379" xr:uid="{D2928DCE-622B-4BCD-9FE5-75307F565609}"/>
    <cellStyle name="40% - akcent 2 4_konsopro330" xfId="380" xr:uid="{4ADB0A5D-5A92-4B0E-8E9A-53206C53EC81}"/>
    <cellStyle name="40% - akcent 2 5" xfId="381" xr:uid="{71F59E3D-E41B-4284-BBEC-0938D692C73C}"/>
    <cellStyle name="40% - akcent 2 5 2" xfId="382" xr:uid="{96A61A43-B8B5-415B-AF6D-E55717499E7D}"/>
    <cellStyle name="40% - akcent 2 5 2 2" xfId="383" xr:uid="{5D8D43DB-26F2-450F-BE03-9B720994E0B2}"/>
    <cellStyle name="40% - akcent 2 5 3" xfId="384" xr:uid="{FA19B06A-A30C-4365-9152-BFD81519CAF4}"/>
    <cellStyle name="40% - akcent 2 5_konsopro330" xfId="385" xr:uid="{3E45AF3D-7A9F-414E-A3E4-7B0D13BA06D5}"/>
    <cellStyle name="40% - akcent 2 6" xfId="386" xr:uid="{442C1C13-F4F0-4F92-ADF1-7634FA650145}"/>
    <cellStyle name="40% - akcent 2 6 2" xfId="387" xr:uid="{536509CF-008B-4E9A-A12E-EA06E04F2264}"/>
    <cellStyle name="40% - akcent 2 6 2 2" xfId="388" xr:uid="{B35EE168-93CA-4308-A9F8-762F82B34B65}"/>
    <cellStyle name="40% - akcent 2 6 3" xfId="389" xr:uid="{8A20203F-9893-4E56-A968-A2D8EF6308DF}"/>
    <cellStyle name="40% - akcent 2 6_konsopro330" xfId="390" xr:uid="{B0C007D2-2801-4FD5-A965-C06031638D03}"/>
    <cellStyle name="40% - akcent 2 7" xfId="391" xr:uid="{6EB303DC-7D49-44C9-8B54-3B669394881E}"/>
    <cellStyle name="40% - akcent 2 7 2" xfId="392" xr:uid="{7877D149-B6C9-4F19-A413-0832F4E3746A}"/>
    <cellStyle name="40% - akcent 2 7 2 2" xfId="393" xr:uid="{FA90503C-FB58-4103-999F-AD3850238A98}"/>
    <cellStyle name="40% - akcent 2 7 3" xfId="394" xr:uid="{5FD3E2A4-F9F2-4836-B06F-9B9BF0EBE0A1}"/>
    <cellStyle name="40% - akcent 2 7_konsopro330" xfId="395" xr:uid="{EA1C5AA0-C735-4149-BFBB-A74AD10E8864}"/>
    <cellStyle name="40% - akcent 2 8" xfId="396" xr:uid="{B142316B-58F2-4526-9680-4FA401835377}"/>
    <cellStyle name="40% - akcent 2 8 2" xfId="397" xr:uid="{A5D3ED11-7BF2-4ACD-8E1A-9B1F5A98D243}"/>
    <cellStyle name="40% - akcent 2 8 2 2" xfId="398" xr:uid="{ED699560-F9EC-47B0-85FA-F190ACD2B935}"/>
    <cellStyle name="40% - akcent 2 8 3" xfId="399" xr:uid="{11B15C9B-145C-4852-B4A0-1B493F3C8825}"/>
    <cellStyle name="40% - akcent 2 8_konsopro330" xfId="400" xr:uid="{E971EA12-EA8E-469C-A79E-62191EB7376F}"/>
    <cellStyle name="40% - akcent 2 9" xfId="401" xr:uid="{F439161D-587C-449A-A0B5-82B52AD15DFA}"/>
    <cellStyle name="40% - akcent 2 9 2" xfId="402" xr:uid="{A99DF31E-3BC9-4F39-AE09-F503B1DA5EBB}"/>
    <cellStyle name="40% - akcent 2 9 2 2" xfId="403" xr:uid="{D09CD481-12C4-4191-AD2E-94D6E1BDA9FF}"/>
    <cellStyle name="40% - akcent 2 9 3" xfId="404" xr:uid="{4CD13E14-B481-44D9-8FBA-46E5EEBCB0B8}"/>
    <cellStyle name="40% - akcent 2 9_konsopro330" xfId="405" xr:uid="{335D25A1-652A-460D-A576-3922C6E51329}"/>
    <cellStyle name="40% - akcent 3 10" xfId="407" xr:uid="{7BD0228B-5994-4815-BC94-018D2BD7B494}"/>
    <cellStyle name="40% - akcent 3 10 2" xfId="408" xr:uid="{1D525136-7A8C-45E5-806A-C3950BD7A1FA}"/>
    <cellStyle name="40% - akcent 3 10 2 2" xfId="409" xr:uid="{778F5A85-8A60-46D8-B981-99DB248BE934}"/>
    <cellStyle name="40% - akcent 3 10 3" xfId="410" xr:uid="{BC237F01-6352-461A-9595-4914D4D09592}"/>
    <cellStyle name="40% - akcent 3 10_konsopro330" xfId="411" xr:uid="{1B576262-D30B-4077-B8B2-D6EB7B0FFDE4}"/>
    <cellStyle name="40% - akcent 3 11" xfId="412" xr:uid="{18737CAD-E5EF-44A7-9ADD-87485EEA929C}"/>
    <cellStyle name="40% - akcent 3 11 2" xfId="413" xr:uid="{A034CFC1-AED2-428F-ADB0-286C3AA88FBE}"/>
    <cellStyle name="40% - akcent 3 12" xfId="414" xr:uid="{0150401C-D413-416A-BFED-850597F0F511}"/>
    <cellStyle name="40% - akcent 3 2" xfId="415" xr:uid="{9671A5F4-BFE0-459F-8242-E1C21A6C6F60}"/>
    <cellStyle name="40% — akcent 3 2" xfId="406" xr:uid="{4D69B9E3-F449-4A83-894F-68E5B2B0466C}"/>
    <cellStyle name="40% - akcent 3 2 2" xfId="416" xr:uid="{702D4DC3-D70A-41FA-90C0-F877376DD300}"/>
    <cellStyle name="40% - akcent 3 2 2 2" xfId="417" xr:uid="{A155FD96-3835-4228-9679-F1CF9A5F010E}"/>
    <cellStyle name="40% - akcent 3 2 3" xfId="418" xr:uid="{E53CA20B-2D2B-4E9B-BF6E-270E367D84E9}"/>
    <cellStyle name="40% - akcent 3 2_konsopro330" xfId="419" xr:uid="{7FF2C5A9-A297-4103-A766-D33B984C209E}"/>
    <cellStyle name="40% - akcent 3 3" xfId="420" xr:uid="{9D7F0FD3-9554-4AED-8875-C65A3075D562}"/>
    <cellStyle name="40% — akcent 3 3" xfId="970" xr:uid="{735A4081-EBAB-4104-939A-2489DF56135E}"/>
    <cellStyle name="40% - akcent 3 3 2" xfId="421" xr:uid="{07BFA91D-0524-4DC7-ACC7-FF5509D81B3B}"/>
    <cellStyle name="40% - akcent 3 3 2 2" xfId="422" xr:uid="{1572BF90-B068-4E6B-985A-6ED9D583C05B}"/>
    <cellStyle name="40% - akcent 3 3 3" xfId="423" xr:uid="{3D3F97A4-BBB5-4AEE-893F-65D9EDFF02BA}"/>
    <cellStyle name="40% - akcent 3 3_konsopro330" xfId="424" xr:uid="{5C28AFB9-A245-4CCA-AEEE-DE97E9EDFB1A}"/>
    <cellStyle name="40% - akcent 3 4" xfId="425" xr:uid="{304C076B-CFB6-4C99-94D4-8DCE89F8BDA5}"/>
    <cellStyle name="40% — akcent 3 4" xfId="977" xr:uid="{151C7B6C-12F8-4F0D-B485-3BAFB7038F51}"/>
    <cellStyle name="40% - akcent 3 4 2" xfId="426" xr:uid="{577DB47E-F653-4849-B802-EBA361A43788}"/>
    <cellStyle name="40% - akcent 3 4 2 2" xfId="427" xr:uid="{33115910-D86C-4F86-BCC6-50D764E54BF7}"/>
    <cellStyle name="40% - akcent 3 4 3" xfId="428" xr:uid="{7D47CB78-91F2-4D81-A3E3-A70CAF4A28E0}"/>
    <cellStyle name="40% - akcent 3 4_konsopro330" xfId="429" xr:uid="{262F509A-DF26-48DB-83D7-EA346AB48090}"/>
    <cellStyle name="40% - akcent 3 5" xfId="430" xr:uid="{E6F7F00E-10E1-4F0C-9D16-9C8D003EECDF}"/>
    <cellStyle name="40% - akcent 3 5 2" xfId="431" xr:uid="{2F34BF71-1227-4F09-A736-1B03CE0C78C7}"/>
    <cellStyle name="40% - akcent 3 5 2 2" xfId="432" xr:uid="{603B440C-7142-41D1-BA08-87CE1D66ACB5}"/>
    <cellStyle name="40% - akcent 3 5 3" xfId="433" xr:uid="{8E6B3502-C226-4783-BCA3-F1A0C2EC1F3B}"/>
    <cellStyle name="40% - akcent 3 5_konsopro330" xfId="434" xr:uid="{3203321D-C8D5-497F-9074-539E8257385B}"/>
    <cellStyle name="40% - akcent 3 6" xfId="435" xr:uid="{0C2BE485-1CC3-4938-A112-887DEF4428C8}"/>
    <cellStyle name="40% - akcent 3 6 2" xfId="436" xr:uid="{38DFBFC4-24D2-412A-84C5-EC4AA6ACEFDC}"/>
    <cellStyle name="40% - akcent 3 6 2 2" xfId="437" xr:uid="{7C7F0B86-9895-4D5F-8B0C-71614CB48CD6}"/>
    <cellStyle name="40% - akcent 3 6 3" xfId="438" xr:uid="{0D278411-82A7-4FD9-8F74-5EE877EFB3B3}"/>
    <cellStyle name="40% - akcent 3 6_konsopro330" xfId="439" xr:uid="{0D96DC7A-D5BD-4263-9010-F3732DC94CE8}"/>
    <cellStyle name="40% - akcent 3 7" xfId="440" xr:uid="{AB30E2F9-23FF-482B-822F-0CB26FB91837}"/>
    <cellStyle name="40% - akcent 3 7 2" xfId="441" xr:uid="{C3BC8649-2A30-40A6-A7B3-22B9B0A07B24}"/>
    <cellStyle name="40% - akcent 3 7 2 2" xfId="442" xr:uid="{503EBA5F-85C4-481D-9C7B-6E7C1B193138}"/>
    <cellStyle name="40% - akcent 3 7 3" xfId="443" xr:uid="{18C4F22B-8D05-49F9-8839-1E7E47965F95}"/>
    <cellStyle name="40% - akcent 3 7_konsopro330" xfId="444" xr:uid="{1828CA07-545A-4942-8F7E-BDC0F09D28B0}"/>
    <cellStyle name="40% - akcent 3 8" xfId="445" xr:uid="{EF95C32D-6698-4FE9-9C14-CBA83C0F6564}"/>
    <cellStyle name="40% - akcent 3 8 2" xfId="446" xr:uid="{4AE20E7D-D6DC-42F2-90AE-C97C800AD80C}"/>
    <cellStyle name="40% - akcent 3 8 2 2" xfId="447" xr:uid="{4CED71D1-9AF9-4C19-9B71-ADAC27ECB0E8}"/>
    <cellStyle name="40% - akcent 3 8 3" xfId="448" xr:uid="{10FD5BCD-E3B9-48D7-B988-3500F3C20C27}"/>
    <cellStyle name="40% - akcent 3 8_konsopro330" xfId="449" xr:uid="{7391A2BD-2A30-4119-BBB5-2AD7B0D87885}"/>
    <cellStyle name="40% - akcent 3 9" xfId="450" xr:uid="{28E237F7-30B5-4857-8130-51401AD8BF77}"/>
    <cellStyle name="40% - akcent 3 9 2" xfId="451" xr:uid="{5FF71603-82DD-4C6D-B61C-3BFB01C12E61}"/>
    <cellStyle name="40% - akcent 3 9 2 2" xfId="452" xr:uid="{2F09BCFD-6F73-452D-9A9C-85B6E761C64F}"/>
    <cellStyle name="40% - akcent 3 9 3" xfId="453" xr:uid="{A28F7528-475A-4DFE-AB98-BA3EA7FCD1F0}"/>
    <cellStyle name="40% - akcent 3 9_konsopro330" xfId="454" xr:uid="{F69191B6-C73B-44FF-9544-6CC0981CE408}"/>
    <cellStyle name="40% - akcent 4 10" xfId="456" xr:uid="{5AEE2462-88B1-404A-9C6D-07912FD05FB8}"/>
    <cellStyle name="40% - akcent 4 10 2" xfId="457" xr:uid="{81B25001-2FDF-4AF6-8E96-B93C60CF3EAF}"/>
    <cellStyle name="40% - akcent 4 10 2 2" xfId="458" xr:uid="{3267B005-742E-4A27-8B5A-101484CE18F8}"/>
    <cellStyle name="40% - akcent 4 10 3" xfId="459" xr:uid="{088FDFC5-E1F1-42C0-B6D9-4838FC211311}"/>
    <cellStyle name="40% - akcent 4 10_konsopro330" xfId="460" xr:uid="{00F126A7-3B8C-4EA4-A983-9F30D12696F1}"/>
    <cellStyle name="40% - akcent 4 11" xfId="461" xr:uid="{BD4853E2-B63F-4DA6-9AD5-940B71F0370B}"/>
    <cellStyle name="40% - akcent 4 11 2" xfId="462" xr:uid="{3C0682AB-29C9-4CCA-8B99-7D0EDF2CF147}"/>
    <cellStyle name="40% - akcent 4 12" xfId="463" xr:uid="{87D046D0-E0C2-4355-B088-C98F0548B635}"/>
    <cellStyle name="40% - akcent 4 2" xfId="464" xr:uid="{531F9D89-E820-40AE-B5AC-7D368501C78A}"/>
    <cellStyle name="40% — akcent 4 2" xfId="455" xr:uid="{FCF8C401-0363-4D75-96FB-9ACC48EEF366}"/>
    <cellStyle name="40% - akcent 4 2 2" xfId="465" xr:uid="{20F017DE-AE46-4FF4-B508-7B9883359C5C}"/>
    <cellStyle name="40% - akcent 4 2 2 2" xfId="466" xr:uid="{CA289935-4B92-40E1-971C-B3BF67918BB9}"/>
    <cellStyle name="40% - akcent 4 2 3" xfId="467" xr:uid="{6AF6672E-84B3-4F64-835F-72835318E65B}"/>
    <cellStyle name="40% - akcent 4 2_konsopro330" xfId="468" xr:uid="{BBE13454-1895-4716-B2AC-B59D6CBA363C}"/>
    <cellStyle name="40% - akcent 4 3" xfId="469" xr:uid="{DE5A6748-279B-4F89-B5E1-074BCA93760C}"/>
    <cellStyle name="40% — akcent 4 3" xfId="972" xr:uid="{92E79869-780D-4259-B99B-15E185E472DB}"/>
    <cellStyle name="40% - akcent 4 3 2" xfId="470" xr:uid="{E9E27BDA-E470-4FCD-B8FF-2DFE76A9E76D}"/>
    <cellStyle name="40% - akcent 4 3 2 2" xfId="471" xr:uid="{C7E07B4E-E9CF-40D6-8D45-531EA8737B3D}"/>
    <cellStyle name="40% - akcent 4 3 3" xfId="472" xr:uid="{368C5A0C-9195-47EA-801D-8E1D763E1DA0}"/>
    <cellStyle name="40% - akcent 4 3_konsopro330" xfId="473" xr:uid="{FADACD56-E46F-48B4-AE22-769384E03F00}"/>
    <cellStyle name="40% - akcent 4 4" xfId="474" xr:uid="{5C2585D0-EB64-4668-A095-033B8EAA9DE7}"/>
    <cellStyle name="40% — akcent 4 4" xfId="975" xr:uid="{F4BE5B18-A21D-4003-8308-7A1E45365D74}"/>
    <cellStyle name="40% - akcent 4 4 2" xfId="475" xr:uid="{F5FAD6BD-450B-49DD-9A69-F5CEB017178F}"/>
    <cellStyle name="40% - akcent 4 4 2 2" xfId="476" xr:uid="{19B8F482-C452-4122-81DC-24EC502EA931}"/>
    <cellStyle name="40% - akcent 4 4 3" xfId="477" xr:uid="{E9543984-4F11-4903-BB9D-255984D4C49A}"/>
    <cellStyle name="40% - akcent 4 4_konsopro330" xfId="478" xr:uid="{BF830521-C8EC-4B24-A487-43F08958460D}"/>
    <cellStyle name="40% - akcent 4 5" xfId="479" xr:uid="{51A17C8A-509B-49EF-AA9D-BEC565DA8B20}"/>
    <cellStyle name="40% - akcent 4 5 2" xfId="480" xr:uid="{E8343A7C-5042-4A45-9B52-8564274FFB1C}"/>
    <cellStyle name="40% - akcent 4 5 2 2" xfId="481" xr:uid="{F7092942-3644-4BEC-9A6A-984E9C2953CC}"/>
    <cellStyle name="40% - akcent 4 5 3" xfId="482" xr:uid="{388BFFDC-A5BD-4040-92EA-00D95B8ABB74}"/>
    <cellStyle name="40% - akcent 4 5_konsopro330" xfId="483" xr:uid="{76F58FE1-0133-41FB-B805-EA4FE97E68B1}"/>
    <cellStyle name="40% - akcent 4 6" xfId="484" xr:uid="{231B6741-C698-407C-A90E-E3459D1F1246}"/>
    <cellStyle name="40% - akcent 4 6 2" xfId="485" xr:uid="{01AC1ED8-8C26-47C4-8481-7D040F75F015}"/>
    <cellStyle name="40% - akcent 4 6 2 2" xfId="486" xr:uid="{FF304CD7-66F4-4A9D-A9FF-DDD07EA5E6D6}"/>
    <cellStyle name="40% - akcent 4 6 3" xfId="487" xr:uid="{BE17FF50-5B0B-4839-9BEC-1B7700445EBE}"/>
    <cellStyle name="40% - akcent 4 6_konsopro330" xfId="488" xr:uid="{FE8A3327-92C5-4DEA-A175-C00065DB5B24}"/>
    <cellStyle name="40% - akcent 4 7" xfId="489" xr:uid="{15314054-67AC-4FF5-B56E-28D440F42B6C}"/>
    <cellStyle name="40% - akcent 4 7 2" xfId="490" xr:uid="{D63BF856-EF70-41F9-8A32-753D6A06969E}"/>
    <cellStyle name="40% - akcent 4 7 2 2" xfId="491" xr:uid="{DE086208-F797-45FD-9301-1EBFED48A24B}"/>
    <cellStyle name="40% - akcent 4 7 3" xfId="492" xr:uid="{351F8FEF-057C-4C50-B3E2-9363572787CA}"/>
    <cellStyle name="40% - akcent 4 7_konsopro330" xfId="493" xr:uid="{B19B6B39-39C7-4D8E-A310-556E2E8E9F53}"/>
    <cellStyle name="40% - akcent 4 8" xfId="494" xr:uid="{833D17AE-3A5E-43CA-8A23-B0DCFDAAA936}"/>
    <cellStyle name="40% - akcent 4 8 2" xfId="495" xr:uid="{6CDF88EB-ACAF-4288-8341-78DC8490FC3F}"/>
    <cellStyle name="40% - akcent 4 8 2 2" xfId="496" xr:uid="{0CBFFC32-A40C-4C0C-AC05-C26AF85E81A7}"/>
    <cellStyle name="40% - akcent 4 8 3" xfId="497" xr:uid="{989120B2-1C73-41BA-82AD-D662E1B0BC0D}"/>
    <cellStyle name="40% - akcent 4 8_konsopro330" xfId="498" xr:uid="{C45A1217-481C-4958-9E77-2416A6E0328D}"/>
    <cellStyle name="40% - akcent 4 9" xfId="499" xr:uid="{B6789CD2-A57A-49AB-A383-A4F49BF393D5}"/>
    <cellStyle name="40% - akcent 4 9 2" xfId="500" xr:uid="{AA525314-E531-4700-A18C-85FBFF3ABA07}"/>
    <cellStyle name="40% - akcent 4 9 2 2" xfId="501" xr:uid="{1CCF600E-00F9-4271-BFCD-6E3DA04682A3}"/>
    <cellStyle name="40% - akcent 4 9 3" xfId="502" xr:uid="{BA2F90A3-A825-4395-8ABD-9644E39A3A61}"/>
    <cellStyle name="40% - akcent 4 9_konsopro330" xfId="503" xr:uid="{78EF7AF4-E57B-4C07-8EC7-54D506BC4644}"/>
    <cellStyle name="40% - akcent 5 10" xfId="505" xr:uid="{2BC9E8CE-5AF3-4985-879B-99DC900EDDD8}"/>
    <cellStyle name="40% - akcent 5 10 2" xfId="506" xr:uid="{E8EDEB0B-EA2E-4323-BB0F-D002A439A5D5}"/>
    <cellStyle name="40% - akcent 5 10 2 2" xfId="507" xr:uid="{B07A780F-D832-45ED-991F-26F9C21B323D}"/>
    <cellStyle name="40% - akcent 5 10 3" xfId="508" xr:uid="{1D3DFE3D-87E1-4CF6-A69B-D2A1F85AA0D6}"/>
    <cellStyle name="40% - akcent 5 10_konsopro330" xfId="509" xr:uid="{274469A1-0E4E-41FB-A901-8CD880009BB0}"/>
    <cellStyle name="40% - akcent 5 11" xfId="510" xr:uid="{499BD151-BD4E-409A-9D77-5B97F241AB67}"/>
    <cellStyle name="40% - akcent 5 11 2" xfId="511" xr:uid="{1E29CBC7-E859-4739-A3BB-027F7AAD7D78}"/>
    <cellStyle name="40% - akcent 5 12" xfId="512" xr:uid="{341EB4F9-0FE1-4061-B73D-0282EE0C8204}"/>
    <cellStyle name="40% - akcent 5 2" xfId="513" xr:uid="{2C59C7C2-3F06-4F06-9292-54C53A839473}"/>
    <cellStyle name="40% — akcent 5 2" xfId="504" xr:uid="{90BBBF67-4C11-49FE-9404-148B6790A972}"/>
    <cellStyle name="40% - akcent 5 2 2" xfId="514" xr:uid="{0E5BB200-E26F-4E4C-B547-EEECAADAE0BC}"/>
    <cellStyle name="40% - akcent 5 2 2 2" xfId="515" xr:uid="{2C2D8ED4-EB80-4B17-A664-9747C7F4E180}"/>
    <cellStyle name="40% - akcent 5 2 3" xfId="516" xr:uid="{AA9DCB17-D990-4BAF-B05A-38C1B451EA6B}"/>
    <cellStyle name="40% - akcent 5 2_konsopro330" xfId="517" xr:uid="{1ED2E6B3-F6E2-4F2E-9B3A-786785DE3702}"/>
    <cellStyle name="40% - akcent 5 3" xfId="518" xr:uid="{4B6ACBC9-2539-41D5-AE95-DFB73BF15FF3}"/>
    <cellStyle name="40% — akcent 5 3" xfId="974" xr:uid="{43FFA534-6649-4591-A937-FAA31D1D9C02}"/>
    <cellStyle name="40% - akcent 5 3 2" xfId="519" xr:uid="{76251BBA-0FD7-4996-AEE9-9456E9BACA4C}"/>
    <cellStyle name="40% - akcent 5 3 2 2" xfId="520" xr:uid="{C3B7219A-BE34-4034-9DFB-DF62A5D58CA9}"/>
    <cellStyle name="40% - akcent 5 3 3" xfId="521" xr:uid="{88064EF1-FDBE-44EF-8FE4-CE2A644345BF}"/>
    <cellStyle name="40% - akcent 5 3_konsopro330" xfId="522" xr:uid="{E2D4B892-958D-4624-B3CF-2B1757377E69}"/>
    <cellStyle name="40% - akcent 5 4" xfId="523" xr:uid="{4B2FD213-0909-4700-811F-D1301C5B3248}"/>
    <cellStyle name="40% — akcent 5 4" xfId="973" xr:uid="{59C7C8A0-6D5D-4C65-9575-AA3F398D5361}"/>
    <cellStyle name="40% - akcent 5 4 2" xfId="524" xr:uid="{05B39070-682D-464C-BE09-9D3694290839}"/>
    <cellStyle name="40% - akcent 5 4 2 2" xfId="525" xr:uid="{F05AC631-AA4B-4833-9986-D42388695DE8}"/>
    <cellStyle name="40% - akcent 5 4 3" xfId="526" xr:uid="{FD2E024D-6C80-4A8C-8D61-3068F0AB2CBA}"/>
    <cellStyle name="40% - akcent 5 4_konsopro330" xfId="527" xr:uid="{DEEED303-42C0-4709-9C41-01D25E6A801B}"/>
    <cellStyle name="40% - akcent 5 5" xfId="528" xr:uid="{CEFEA172-52D1-4675-A1D0-208E617AAF55}"/>
    <cellStyle name="40% - akcent 5 5 2" xfId="529" xr:uid="{7D7DC59C-3B9D-4CC7-B0B8-30C072AAAB78}"/>
    <cellStyle name="40% - akcent 5 5 2 2" xfId="530" xr:uid="{CC7C74B7-5C14-4B6A-9630-5C63C6307DA7}"/>
    <cellStyle name="40% - akcent 5 5 3" xfId="531" xr:uid="{04D701BB-E1D2-4483-A187-B3207914288C}"/>
    <cellStyle name="40% - akcent 5 5_konsopro330" xfId="532" xr:uid="{EC684582-E81D-4C63-B765-DE51F505093C}"/>
    <cellStyle name="40% - akcent 5 6" xfId="533" xr:uid="{345F9703-6949-4F23-B1A9-EC888C75B60D}"/>
    <cellStyle name="40% - akcent 5 6 2" xfId="534" xr:uid="{D1068915-5C83-4C5E-BDAC-E7FC9A3FE46F}"/>
    <cellStyle name="40% - akcent 5 6 2 2" xfId="535" xr:uid="{246B1C6E-4B28-4E92-9A9C-F7414D7F1BB3}"/>
    <cellStyle name="40% - akcent 5 6 3" xfId="536" xr:uid="{993BBF17-CB8B-4E4F-AE90-BAE10EA4A38E}"/>
    <cellStyle name="40% - akcent 5 6_konsopro330" xfId="537" xr:uid="{BAA44821-5349-4413-9E5E-67542DF25428}"/>
    <cellStyle name="40% - akcent 5 7" xfId="538" xr:uid="{0CBB7BE0-020F-4670-B9AF-3BDC271DD26A}"/>
    <cellStyle name="40% - akcent 5 7 2" xfId="539" xr:uid="{A8404D20-5B17-41DE-A39E-09D1FC06A835}"/>
    <cellStyle name="40% - akcent 5 7 2 2" xfId="540" xr:uid="{302845D8-3FAE-4487-B3B2-70E6734385B6}"/>
    <cellStyle name="40% - akcent 5 7 3" xfId="541" xr:uid="{F6484AAE-BF4F-4644-8154-5E35D4F71762}"/>
    <cellStyle name="40% - akcent 5 7_konsopro330" xfId="542" xr:uid="{7619145F-A10A-478D-BD2D-3D59FA8612C2}"/>
    <cellStyle name="40% - akcent 5 8" xfId="543" xr:uid="{6208CB8A-BC1F-4C32-B146-FEEDDBE651DE}"/>
    <cellStyle name="40% - akcent 5 8 2" xfId="544" xr:uid="{5B12F083-8019-42EA-A978-8AD3676A2718}"/>
    <cellStyle name="40% - akcent 5 8 2 2" xfId="545" xr:uid="{35B3BA81-5339-4978-BBA8-4C8859FAB597}"/>
    <cellStyle name="40% - akcent 5 8 3" xfId="546" xr:uid="{9F26AD9C-82BA-46D3-AB94-9073CA37CAA7}"/>
    <cellStyle name="40% - akcent 5 8_konsopro330" xfId="547" xr:uid="{35BBDBD8-37C0-4735-BEFA-8E26EF3FD3D0}"/>
    <cellStyle name="40% - akcent 5 9" xfId="548" xr:uid="{04A9C31F-1AC4-4205-8F6A-B54B6CDAFFFE}"/>
    <cellStyle name="40% - akcent 5 9 2" xfId="549" xr:uid="{73586606-0802-4107-BD1A-2515C5E8E049}"/>
    <cellStyle name="40% - akcent 5 9 2 2" xfId="550" xr:uid="{79DC50BE-D7D0-458F-A1B7-0E3079B7B4B9}"/>
    <cellStyle name="40% - akcent 5 9 3" xfId="551" xr:uid="{7AB089B5-4FFF-4AA5-B9A3-A8704790A2C0}"/>
    <cellStyle name="40% - akcent 5 9_konsopro330" xfId="552" xr:uid="{F8CA8010-8CCB-4980-86BA-F3A4B2BB4E8A}"/>
    <cellStyle name="40% - akcent 6 10" xfId="554" xr:uid="{5EA0A9E5-5E40-4DB9-A224-24DC1818AF9B}"/>
    <cellStyle name="40% - akcent 6 10 2" xfId="555" xr:uid="{FB0518A3-BEC3-41E8-85AD-2556E29AFF11}"/>
    <cellStyle name="40% - akcent 6 10 2 2" xfId="556" xr:uid="{B71E3515-69F2-48F3-9FB1-229FB13689B3}"/>
    <cellStyle name="40% - akcent 6 10 3" xfId="557" xr:uid="{AE3A7D7C-7FA4-4AA8-A847-9120E803739C}"/>
    <cellStyle name="40% - akcent 6 10_konsopro330" xfId="558" xr:uid="{E6DC1675-949D-4C3C-B798-D1E50439EF32}"/>
    <cellStyle name="40% - akcent 6 11" xfId="559" xr:uid="{8AE57F2F-3662-4FE0-9746-CF24ABA7E945}"/>
    <cellStyle name="40% - akcent 6 11 2" xfId="560" xr:uid="{FEB34D26-5F70-4568-B82C-024DF60D33C2}"/>
    <cellStyle name="40% - akcent 6 12" xfId="561" xr:uid="{F0067971-A523-43B4-8A6E-0FDD690A0CE6}"/>
    <cellStyle name="40% - akcent 6 2" xfId="562" xr:uid="{5F3F7C7A-00F2-4747-A031-39BD4FC6C438}"/>
    <cellStyle name="40% — akcent 6 2" xfId="553" xr:uid="{F7B1DDFF-0558-4C73-A6BE-4E52D79CC356}"/>
    <cellStyle name="40% - akcent 6 2 2" xfId="563" xr:uid="{FED04335-2072-4901-8FB6-02B62FCEAE6F}"/>
    <cellStyle name="40% - akcent 6 2 2 2" xfId="564" xr:uid="{3DB524FE-7BF1-4A80-BF2E-548DE658605B}"/>
    <cellStyle name="40% - akcent 6 2 3" xfId="565" xr:uid="{172DD51C-7CBE-4A4D-865A-05A30EB7ED3F}"/>
    <cellStyle name="40% - akcent 6 2_konsopro330" xfId="566" xr:uid="{FA19A482-63F9-4983-9EAB-96C42DD1C79F}"/>
    <cellStyle name="40% - akcent 6 3" xfId="567" xr:uid="{E97E80EE-3706-4C19-9618-51F056C52586}"/>
    <cellStyle name="40% — akcent 6 3" xfId="976" xr:uid="{1C348CFC-3256-4F8F-A27C-31BA4F5B2E22}"/>
    <cellStyle name="40% - akcent 6 3 2" xfId="568" xr:uid="{6F87A114-5016-4A2D-8055-8C512DF3773C}"/>
    <cellStyle name="40% - akcent 6 3 2 2" xfId="569" xr:uid="{2527610D-52F2-4F62-906A-177D91AF76AE}"/>
    <cellStyle name="40% - akcent 6 3 3" xfId="570" xr:uid="{53AE3B47-9401-4BC5-87F1-5F40C78498C9}"/>
    <cellStyle name="40% - akcent 6 3_konsopro330" xfId="571" xr:uid="{B9F3D2D7-2C15-49E4-B60D-8732832B4A3A}"/>
    <cellStyle name="40% - akcent 6 4" xfId="572" xr:uid="{21C729A8-9152-428E-9A76-7934BCF7B2F1}"/>
    <cellStyle name="40% — akcent 6 4" xfId="971" xr:uid="{568013EA-E010-43B6-A8A9-919D1F50078A}"/>
    <cellStyle name="40% - akcent 6 4 2" xfId="573" xr:uid="{B58E3025-229B-4AD9-A890-C9E20FC3ED88}"/>
    <cellStyle name="40% - akcent 6 4 2 2" xfId="574" xr:uid="{5D50A89D-57F6-47FB-9EA1-325D6C0EB792}"/>
    <cellStyle name="40% - akcent 6 4 3" xfId="575" xr:uid="{0C20ADA8-9F93-416B-B96D-BBA7BB88DE0B}"/>
    <cellStyle name="40% - akcent 6 4_konsopro330" xfId="576" xr:uid="{52C95FF0-CEC0-4D36-9B75-8EC641985840}"/>
    <cellStyle name="40% - akcent 6 5" xfId="577" xr:uid="{06441D7C-06A2-4020-8A47-9A88A3922885}"/>
    <cellStyle name="40% - akcent 6 5 2" xfId="578" xr:uid="{28984365-36B4-420F-AA17-63DE2D68EB8E}"/>
    <cellStyle name="40% - akcent 6 5 2 2" xfId="579" xr:uid="{B43212FB-1DB0-4EAC-B040-0E014548FF56}"/>
    <cellStyle name="40% - akcent 6 5 3" xfId="580" xr:uid="{048601DD-6587-4AFB-A034-67CB7A4E81FF}"/>
    <cellStyle name="40% - akcent 6 5_konsopro330" xfId="581" xr:uid="{854F3032-159C-4E54-B640-6E1DE9D14B96}"/>
    <cellStyle name="40% - akcent 6 6" xfId="582" xr:uid="{CB96339A-6CE8-4666-ABD1-70AE9C7494A9}"/>
    <cellStyle name="40% - akcent 6 6 2" xfId="583" xr:uid="{BBFCA77B-6501-47FE-ADED-8C0C2B3BDB13}"/>
    <cellStyle name="40% - akcent 6 6 2 2" xfId="584" xr:uid="{584D4500-B93F-4F6A-A11C-7A3B2D542E60}"/>
    <cellStyle name="40% - akcent 6 6 3" xfId="585" xr:uid="{E99D24DB-E826-44DF-B487-3A4FD31B4B30}"/>
    <cellStyle name="40% - akcent 6 6_konsopro330" xfId="586" xr:uid="{3ABDF36D-FD70-43EB-906C-9F1AA55C5AB8}"/>
    <cellStyle name="40% - akcent 6 7" xfId="587" xr:uid="{3D7053AF-10E8-4940-9742-4B38D1A68037}"/>
    <cellStyle name="40% - akcent 6 7 2" xfId="588" xr:uid="{545363FE-B4BD-47D0-AA16-9DF679C4A6E0}"/>
    <cellStyle name="40% - akcent 6 7 2 2" xfId="589" xr:uid="{CEB867DE-4229-4379-9660-F46F4F6ED429}"/>
    <cellStyle name="40% - akcent 6 7 3" xfId="590" xr:uid="{1BB2DD56-4E4C-47F4-9522-4B814BF22A58}"/>
    <cellStyle name="40% - akcent 6 7_konsopro330" xfId="591" xr:uid="{4C9F8A67-89F2-4A62-8374-3C9CA75F3F0C}"/>
    <cellStyle name="40% - akcent 6 8" xfId="592" xr:uid="{F4D95B22-F92F-4C63-91D8-4B072A23B7E4}"/>
    <cellStyle name="40% - akcent 6 8 2" xfId="593" xr:uid="{8D82929D-E058-478D-BD0D-484A7C74D200}"/>
    <cellStyle name="40% - akcent 6 8 2 2" xfId="594" xr:uid="{C7E184A6-9550-430D-8D1A-86E833448970}"/>
    <cellStyle name="40% - akcent 6 8 3" xfId="595" xr:uid="{C5FE7BFB-1457-46CD-83B0-09F07DF5ADA8}"/>
    <cellStyle name="40% - akcent 6 8_konsopro330" xfId="596" xr:uid="{39253A3B-816F-4B54-8304-25097D95945E}"/>
    <cellStyle name="40% - akcent 6 9" xfId="597" xr:uid="{B69F1127-D22D-4716-9E24-3204405FF1A9}"/>
    <cellStyle name="40% - akcent 6 9 2" xfId="598" xr:uid="{7A93EB98-CAC3-40A1-8E91-EFDCFFD9EB0F}"/>
    <cellStyle name="40% - akcent 6 9 2 2" xfId="599" xr:uid="{F1CDEAC0-27D4-448A-BD34-388388CF93FA}"/>
    <cellStyle name="40% - akcent 6 9 3" xfId="600" xr:uid="{F3515C36-735B-4444-94D0-57EE69A0013D}"/>
    <cellStyle name="40% - akcent 6 9_konsopro330" xfId="601" xr:uid="{9E28DD30-51C4-453F-9FAA-DF6874019BA3}"/>
    <cellStyle name="49" xfId="9" xr:uid="{C98581FD-2406-4546-8410-6417985DFCBC}"/>
    <cellStyle name="60% - akcent 1 10" xfId="603" xr:uid="{215DBC7F-F8AA-4A3D-B4E5-CE516AAE61B1}"/>
    <cellStyle name="60% - akcent 1 2" xfId="604" xr:uid="{294B5E0F-1F1F-45A3-A818-5DDA1AEF3745}"/>
    <cellStyle name="60% — akcent 1 2" xfId="602" xr:uid="{611936A8-879B-4D68-BA24-D34958D455A9}"/>
    <cellStyle name="60% - akcent 1 3" xfId="605" xr:uid="{F034AE7F-D18A-4F66-906E-7CBEEB6D5D90}"/>
    <cellStyle name="60% — akcent 1 3" xfId="978" xr:uid="{F0E671CE-DCF2-4980-8B3D-A725EC42E714}"/>
    <cellStyle name="60% - akcent 1 4" xfId="606" xr:uid="{AE6B6E26-BE73-4E29-8585-CF8F78B4506B}"/>
    <cellStyle name="60% — akcent 1 4" xfId="969" xr:uid="{0BE57529-33CD-45A5-AD9A-D77DA48C9590}"/>
    <cellStyle name="60% - akcent 1 5" xfId="607" xr:uid="{6C86915B-9F01-4918-805B-E9A7F663CF16}"/>
    <cellStyle name="60% - akcent 1 6" xfId="608" xr:uid="{0B2DB2FC-C39C-4A2D-86F3-F2DC8EBD38FD}"/>
    <cellStyle name="60% - akcent 1 7" xfId="609" xr:uid="{0FE87412-587E-4F8A-AFAF-CCAEE9843E3D}"/>
    <cellStyle name="60% - akcent 1 8" xfId="610" xr:uid="{E01531A7-304C-4755-903D-4F0A04BEAAE9}"/>
    <cellStyle name="60% - akcent 1 9" xfId="611" xr:uid="{8F199F75-2C13-4588-8CFF-E9804562DC17}"/>
    <cellStyle name="60% - akcent 2 10" xfId="613" xr:uid="{C6165D02-D7A9-4317-8277-489ABBDFCE5A}"/>
    <cellStyle name="60% - akcent 2 2" xfId="614" xr:uid="{0B6B67F4-533A-4428-9290-FA5A05AF7E3B}"/>
    <cellStyle name="60% — akcent 2 2" xfId="612" xr:uid="{409362AD-6E79-4B51-AC3E-FD5284FA088A}"/>
    <cellStyle name="60% - akcent 2 3" xfId="615" xr:uid="{6EC154A9-AD71-444D-8C4F-C6D42B0F8003}"/>
    <cellStyle name="60% — akcent 2 3" xfId="979" xr:uid="{CA22E662-2426-40D3-B145-8BF2C9071473}"/>
    <cellStyle name="60% - akcent 2 4" xfId="616" xr:uid="{3F21AA11-903C-4EC0-8D5A-E437BDCE8F70}"/>
    <cellStyle name="60% — akcent 2 4" xfId="967" xr:uid="{0DAA52CA-25E7-4CB0-B09A-9934EBED576B}"/>
    <cellStyle name="60% - akcent 2 5" xfId="617" xr:uid="{BD757AFD-AE55-4CD0-9C1E-ABD41F1D40D0}"/>
    <cellStyle name="60% - akcent 2 6" xfId="618" xr:uid="{29262084-444C-40A0-AC3F-27A4D8ECD3AA}"/>
    <cellStyle name="60% - akcent 2 7" xfId="619" xr:uid="{40426F73-BAD0-40E9-992B-E64FE0652142}"/>
    <cellStyle name="60% - akcent 2 8" xfId="620" xr:uid="{AA93CCD7-A490-4CFA-8A68-224CC140E0CE}"/>
    <cellStyle name="60% - akcent 2 9" xfId="621" xr:uid="{234EB342-877D-4A54-A1A2-E992BFEBE31C}"/>
    <cellStyle name="60% - akcent 3 10" xfId="623" xr:uid="{BB72DB82-B13A-4354-B44C-D78FEEC911D0}"/>
    <cellStyle name="60% - akcent 3 2" xfId="624" xr:uid="{EE1C6C84-C3CE-42BA-BFD6-3683B345D480}"/>
    <cellStyle name="60% — akcent 3 2" xfId="622" xr:uid="{21669073-8A17-45CF-961E-7F17CBA0C93B}"/>
    <cellStyle name="60% - akcent 3 3" xfId="625" xr:uid="{C3161B15-DA4A-4242-BEED-5F2994E806AF}"/>
    <cellStyle name="60% — akcent 3 3" xfId="981" xr:uid="{3FD78E63-975F-49F8-B2A2-6B15443CBF4E}"/>
    <cellStyle name="60% - akcent 3 4" xfId="626" xr:uid="{AFB3EB30-B0AC-45D5-958A-AE255BD19803}"/>
    <cellStyle name="60% — akcent 3 4" xfId="966" xr:uid="{BFC7F2E5-D970-46D2-AFA9-2AB8F3B11631}"/>
    <cellStyle name="60% - akcent 3 5" xfId="627" xr:uid="{B8DEB12D-530E-4695-BF2D-5E90C99B35B3}"/>
    <cellStyle name="60% - akcent 3 6" xfId="628" xr:uid="{82EEC652-88CB-4724-911D-005A34BA3E79}"/>
    <cellStyle name="60% - akcent 3 7" xfId="629" xr:uid="{3898EB5B-B0B1-4EC8-A56A-27B3B0CDCF12}"/>
    <cellStyle name="60% - akcent 3 8" xfId="630" xr:uid="{F1F9525F-C00B-4A03-A309-8AA82CA1103E}"/>
    <cellStyle name="60% - akcent 3 9" xfId="631" xr:uid="{3EA77FA3-B75F-459B-BB3C-D5AB462F4378}"/>
    <cellStyle name="60% - akcent 4 10" xfId="633" xr:uid="{76C37773-27B1-420A-BF9C-A6C1C768F03A}"/>
    <cellStyle name="60% - akcent 4 2" xfId="634" xr:uid="{EA39BD40-D52C-435B-B952-0F4A2C938FB0}"/>
    <cellStyle name="60% — akcent 4 2" xfId="632" xr:uid="{92C2BEB7-7795-4780-B75F-EFB372284B09}"/>
    <cellStyle name="60% - akcent 4 3" xfId="635" xr:uid="{562ED755-0F55-4B00-97D1-2DE575654B02}"/>
    <cellStyle name="60% — akcent 4 3" xfId="982" xr:uid="{70EA2C68-F7E2-4F9C-A6A3-717418D0425B}"/>
    <cellStyle name="60% - akcent 4 4" xfId="636" xr:uid="{E78ABA92-3BAD-4DC5-A652-B0DB8DDF62B6}"/>
    <cellStyle name="60% — akcent 4 4" xfId="965" xr:uid="{230EDDE5-1480-4503-9709-A04DC62B0B38}"/>
    <cellStyle name="60% - akcent 4 5" xfId="637" xr:uid="{F735EA0F-33AD-4D1B-BEFC-C11BB9AD3767}"/>
    <cellStyle name="60% - akcent 4 6" xfId="638" xr:uid="{0DFBA5A8-E58C-4F17-8C13-D0CE24C9AC9E}"/>
    <cellStyle name="60% - akcent 4 7" xfId="639" xr:uid="{6D749A2D-72FC-4846-A9F9-E0573E105B8C}"/>
    <cellStyle name="60% - akcent 4 8" xfId="640" xr:uid="{589D2E24-E6D3-4C9A-9EE3-F05AF00C1315}"/>
    <cellStyle name="60% - akcent 4 9" xfId="641" xr:uid="{FBDAD15B-4147-4232-8FFF-FBA0BC93D5AA}"/>
    <cellStyle name="60% - akcent 5 10" xfId="643" xr:uid="{177AF947-6F64-4BAF-9D17-32C7ADC5A373}"/>
    <cellStyle name="60% - akcent 5 2" xfId="644" xr:uid="{4D0F10D9-C90A-4912-8144-B0436BEEAB77}"/>
    <cellStyle name="60% — akcent 5 2" xfId="642" xr:uid="{C5414327-A687-407E-9116-8B97BC3D0790}"/>
    <cellStyle name="60% - akcent 5 3" xfId="645" xr:uid="{8AB076F9-1A9A-4871-ACE2-8B36B68693EA}"/>
    <cellStyle name="60% — akcent 5 3" xfId="983" xr:uid="{802B56A4-3D58-4E95-AF92-082ED245E942}"/>
    <cellStyle name="60% - akcent 5 4" xfId="646" xr:uid="{5D1A4CE3-0F6F-4521-A967-39EA0DB8AE6F}"/>
    <cellStyle name="60% — akcent 5 4" xfId="964" xr:uid="{49E779AE-BB86-439A-BC3F-3AFB13E430A6}"/>
    <cellStyle name="60% - akcent 5 5" xfId="647" xr:uid="{B33C99AA-9100-453D-A786-D262ECA9FF89}"/>
    <cellStyle name="60% - akcent 5 6" xfId="648" xr:uid="{36D4DCED-BDF4-4BD5-98F6-D7C3186FF486}"/>
    <cellStyle name="60% - akcent 5 7" xfId="649" xr:uid="{46FBB766-7EFD-4D0B-9043-37229D03FED7}"/>
    <cellStyle name="60% - akcent 5 8" xfId="650" xr:uid="{6C4B18A2-966B-429B-A551-46AFEE49E1EB}"/>
    <cellStyle name="60% - akcent 5 9" xfId="651" xr:uid="{2A5BA955-88A2-4780-A15B-6A6240C0A50E}"/>
    <cellStyle name="60% - akcent 6 10" xfId="653" xr:uid="{ED07A2CE-C4FF-41D2-83E9-CDDD90C3FDD1}"/>
    <cellStyle name="60% - akcent 6 2" xfId="654" xr:uid="{76959D52-CA07-47B7-A190-CEFCCDEDDE22}"/>
    <cellStyle name="60% — akcent 6 2" xfId="652" xr:uid="{E8F20DEE-F921-4937-BD6F-E3E1DFAC223F}"/>
    <cellStyle name="60% - akcent 6 3" xfId="655" xr:uid="{925E15FF-ECDE-41F8-9980-B7A6783726B2}"/>
    <cellStyle name="60% — akcent 6 3" xfId="984" xr:uid="{6E9CCC22-4254-4774-8B64-9E807C4EF913}"/>
    <cellStyle name="60% - akcent 6 4" xfId="656" xr:uid="{510D9AD2-27A5-4427-8A71-58B39FDA1AB1}"/>
    <cellStyle name="60% — akcent 6 4" xfId="963" xr:uid="{1E639238-FEEA-4762-8FC7-5CAF2A09091E}"/>
    <cellStyle name="60% - akcent 6 5" xfId="657" xr:uid="{043432E0-C9C7-48C6-9BE8-92F56F5E2478}"/>
    <cellStyle name="60% - akcent 6 6" xfId="658" xr:uid="{9F281BBD-8498-4BC1-9F3C-0F0C490CE656}"/>
    <cellStyle name="60% - akcent 6 7" xfId="659" xr:uid="{2B092E14-C443-4C3B-923B-3FA9F804855A}"/>
    <cellStyle name="60% - akcent 6 8" xfId="660" xr:uid="{69EBAA23-6B67-44AE-AC93-122302187284}"/>
    <cellStyle name="60% - akcent 6 9" xfId="661" xr:uid="{D92676DB-79DF-446C-8A13-1D6F03CDA920}"/>
    <cellStyle name="Akcent 1 10" xfId="663" xr:uid="{62FD8E4A-8B7A-444F-9AD4-CFFBB304F992}"/>
    <cellStyle name="Akcent 1 11" xfId="662" xr:uid="{B6DBB29C-6106-4A5C-AB78-89C5D2250DD9}"/>
    <cellStyle name="Akcent 1 2" xfId="664" xr:uid="{B29AA01D-C1B0-4924-8190-C52A9B48EC9E}"/>
    <cellStyle name="Akcent 1 3" xfId="665" xr:uid="{800B6B37-1B3F-48C7-B5F5-0018D9A1B5A3}"/>
    <cellStyle name="Akcent 1 4" xfId="666" xr:uid="{851B71CD-23D7-4573-A9B9-FFB7BFCA77E2}"/>
    <cellStyle name="Akcent 1 5" xfId="667" xr:uid="{4530C231-1DDC-4034-BC7B-23FDDD58EFDA}"/>
    <cellStyle name="Akcent 1 6" xfId="668" xr:uid="{92C9A11D-06C5-4E28-A9E2-10F8470B9098}"/>
    <cellStyle name="Akcent 1 7" xfId="669" xr:uid="{EBD991AD-65FE-4426-89E0-E3642B427462}"/>
    <cellStyle name="Akcent 1 8" xfId="670" xr:uid="{F175DEB9-6D34-4176-B435-C5A2C02AD9AA}"/>
    <cellStyle name="Akcent 1 9" xfId="671" xr:uid="{0ABF14FA-0D77-4420-841B-8D123B7B7241}"/>
    <cellStyle name="Akcent 2 10" xfId="673" xr:uid="{6416CF40-7048-4320-AA07-1C73C739107D}"/>
    <cellStyle name="Akcent 2 11" xfId="672" xr:uid="{84A2984D-9A32-4D15-9319-8F3CB887F63C}"/>
    <cellStyle name="Akcent 2 2" xfId="674" xr:uid="{0C963505-6CA3-471F-AB1C-05DCF5F177E1}"/>
    <cellStyle name="Akcent 2 3" xfId="675" xr:uid="{AD23B554-F5BF-416E-856E-0C13B9AAD73B}"/>
    <cellStyle name="Akcent 2 4" xfId="676" xr:uid="{246A9E03-904F-4F81-BFA2-7D09A6DF9E1D}"/>
    <cellStyle name="Akcent 2 5" xfId="677" xr:uid="{23883E17-8602-4ACD-95E3-6DFE0EA2654C}"/>
    <cellStyle name="Akcent 2 6" xfId="678" xr:uid="{235EF693-277D-4299-9A34-1E4C5EEA565C}"/>
    <cellStyle name="Akcent 2 7" xfId="679" xr:uid="{90D5214E-3F47-4B22-B87F-E6C212172994}"/>
    <cellStyle name="Akcent 2 8" xfId="680" xr:uid="{E2E5AC59-7EF1-41B9-BFCE-FD08ADA76DB9}"/>
    <cellStyle name="Akcent 2 9" xfId="681" xr:uid="{D59597CD-9A55-4E36-9F86-E299A2790E3A}"/>
    <cellStyle name="Akcent 3 10" xfId="683" xr:uid="{E977DF41-26C8-428E-8581-BBE2F8FF089C}"/>
    <cellStyle name="Akcent 3 11" xfId="682" xr:uid="{AF402386-A33F-4BD0-9E8F-FC2D67949565}"/>
    <cellStyle name="Akcent 3 2" xfId="684" xr:uid="{6F978837-051B-4199-B32C-789FFAF9749A}"/>
    <cellStyle name="Akcent 3 3" xfId="685" xr:uid="{613CFD8E-5B4F-4F0A-BCD2-901286A4615F}"/>
    <cellStyle name="Akcent 3 4" xfId="686" xr:uid="{C6FC7508-8AA1-48D3-9A96-E05DCED0CF19}"/>
    <cellStyle name="Akcent 3 5" xfId="687" xr:uid="{406018EF-A353-47EA-AF3B-A1CDDA186F83}"/>
    <cellStyle name="Akcent 3 6" xfId="688" xr:uid="{7298CAF1-2A67-446F-9F35-2B1C045F8CB5}"/>
    <cellStyle name="Akcent 3 7" xfId="689" xr:uid="{A9617DEB-1D6A-422F-9914-003A837E30CD}"/>
    <cellStyle name="Akcent 3 8" xfId="690" xr:uid="{4765006B-9030-4067-B1E2-CC03838CB643}"/>
    <cellStyle name="Akcent 3 9" xfId="691" xr:uid="{8EC2357B-25D4-4E68-8697-FBBB5A3DE3AA}"/>
    <cellStyle name="Akcent 4 10" xfId="693" xr:uid="{8E8AF82F-3F05-4AC7-AC65-501F5B92C22F}"/>
    <cellStyle name="Akcent 4 11" xfId="692" xr:uid="{1A3CEB36-8260-4D6D-B0C6-7BE595456CF2}"/>
    <cellStyle name="Akcent 4 2" xfId="694" xr:uid="{8977D5F8-D98B-409A-9E57-D767057BDBAD}"/>
    <cellStyle name="Akcent 4 3" xfId="695" xr:uid="{979C2E7E-4E11-4FF6-A774-30342FD5862D}"/>
    <cellStyle name="Akcent 4 4" xfId="696" xr:uid="{9D6919BC-3FAC-4DF1-AF49-028CFB348977}"/>
    <cellStyle name="Akcent 4 5" xfId="697" xr:uid="{0CC3D3F8-0B5D-436F-BCB8-17BAC7EA1DEC}"/>
    <cellStyle name="Akcent 4 6" xfId="698" xr:uid="{F31A689E-0C7D-40A5-92C1-5202B7699306}"/>
    <cellStyle name="Akcent 4 7" xfId="699" xr:uid="{D4529DEE-CF23-4C1F-9403-E0A9CE898860}"/>
    <cellStyle name="Akcent 4 8" xfId="700" xr:uid="{E7C3E88A-A88F-4044-A4E0-4237061584E1}"/>
    <cellStyle name="Akcent 4 9" xfId="701" xr:uid="{95BFA362-A5BE-4225-A7FF-A30D20D97726}"/>
    <cellStyle name="Akcent 5 10" xfId="703" xr:uid="{01BACC54-60C8-45F8-9AA5-68ED47880ADE}"/>
    <cellStyle name="Akcent 5 11" xfId="702" xr:uid="{EFA45D14-810C-4522-8A15-125E17D013E2}"/>
    <cellStyle name="Akcent 5 2" xfId="704" xr:uid="{6D8CD75D-6E36-4C3A-8BA1-D73FF59D4F03}"/>
    <cellStyle name="Akcent 5 3" xfId="705" xr:uid="{74F5D54C-6E06-44A1-8BE7-AD475999D8ED}"/>
    <cellStyle name="Akcent 5 4" xfId="706" xr:uid="{98A4B0ED-5DB1-4AB8-A9C9-8B0780F86E01}"/>
    <cellStyle name="Akcent 5 5" xfId="707" xr:uid="{33521060-B9AB-4722-9E6A-F1C57BAC43DC}"/>
    <cellStyle name="Akcent 5 6" xfId="708" xr:uid="{4DAEDB15-E0E8-4AA5-940C-F7FE7CC70C0B}"/>
    <cellStyle name="Akcent 5 7" xfId="709" xr:uid="{6342B4F1-0E88-4DBF-B797-3F17D6C6BA5C}"/>
    <cellStyle name="Akcent 5 8" xfId="710" xr:uid="{6E4F6632-E66A-4B29-8377-DC0ADA332C2A}"/>
    <cellStyle name="Akcent 5 9" xfId="711" xr:uid="{5757C69A-4B0D-45EC-81A4-8AF2D96CD247}"/>
    <cellStyle name="Akcent 6 10" xfId="713" xr:uid="{E92BC7D8-79EF-449B-8CF2-130E06EA2983}"/>
    <cellStyle name="Akcent 6 11" xfId="712" xr:uid="{30B73F07-92E6-4E50-BB3E-F29F8E1C5B1B}"/>
    <cellStyle name="Akcent 6 2" xfId="714" xr:uid="{9A12A202-6AF3-4FD1-B4D4-8D1A94F5ABED}"/>
    <cellStyle name="Akcent 6 3" xfId="715" xr:uid="{D7A50557-2B71-4D69-97CB-60B2D701006C}"/>
    <cellStyle name="Akcent 6 4" xfId="716" xr:uid="{6E897680-DE5A-4378-93AA-D0F70184FCBD}"/>
    <cellStyle name="Akcent 6 5" xfId="717" xr:uid="{E87C162A-63A8-4D0F-B54B-D2122F2B5E2D}"/>
    <cellStyle name="Akcent 6 6" xfId="718" xr:uid="{A3D76CA2-41CF-4C12-8BDB-F79BE4F3A8A6}"/>
    <cellStyle name="Akcent 6 7" xfId="719" xr:uid="{75758192-94C8-4B4A-8AF6-4546CB6F3464}"/>
    <cellStyle name="Akcent 6 8" xfId="720" xr:uid="{6C7E65DA-79EB-4278-9B1A-B34B9C264B81}"/>
    <cellStyle name="Akcent 6 9" xfId="721" xr:uid="{E7F456D5-FE71-40A1-B406-D2EFA090C7EF}"/>
    <cellStyle name="Dane wejściowe 10" xfId="722" xr:uid="{A9892D39-03AA-4EDF-856F-0FFB6D9B0E78}"/>
    <cellStyle name="Dane wejściowe 2" xfId="723" xr:uid="{5C09B76A-049C-4A87-AFAB-916CEF93E969}"/>
    <cellStyle name="Dane wejściowe 3" xfId="724" xr:uid="{C214A814-17FD-4B39-9248-E098D5EBC98C}"/>
    <cellStyle name="Dane wejściowe 4" xfId="725" xr:uid="{DBF16B3C-02B4-4739-A1F1-92ED66AD20C5}"/>
    <cellStyle name="Dane wejściowe 5" xfId="726" xr:uid="{11F47753-CDB6-44AB-BC02-925B8A93BD6F}"/>
    <cellStyle name="Dane wejściowe 6" xfId="727" xr:uid="{F9151945-F139-4773-9CCB-3AEA1A728552}"/>
    <cellStyle name="Dane wejściowe 7" xfId="728" xr:uid="{AF9A1A95-50E8-42C3-ADDA-0B08BD194AA2}"/>
    <cellStyle name="Dane wejściowe 8" xfId="729" xr:uid="{AFCB04B3-41D7-4B59-9A98-715D2CC1122F}"/>
    <cellStyle name="Dane wejściowe 9" xfId="730" xr:uid="{EEE4B280-48BC-4E59-BEDA-66EA8E54AB6F}"/>
    <cellStyle name="Dane wyjściowe 10" xfId="731" xr:uid="{CC56158C-B28F-4741-95E6-218580EAFC97}"/>
    <cellStyle name="Dane wyjściowe 2" xfId="732" xr:uid="{7E794068-E54C-4D95-9A27-BCA48EFB9381}"/>
    <cellStyle name="Dane wyjściowe 3" xfId="733" xr:uid="{5218EA43-CB27-48F0-96C5-A4F81755F55F}"/>
    <cellStyle name="Dane wyjściowe 4" xfId="734" xr:uid="{BD683010-A577-4EB2-B317-D7B2638CE7D8}"/>
    <cellStyle name="Dane wyjściowe 5" xfId="735" xr:uid="{32A6002F-B5A2-4078-BD25-B949DA10BB8D}"/>
    <cellStyle name="Dane wyjściowe 6" xfId="736" xr:uid="{30E0CA03-FE1F-4DD0-9F95-565F23B7F3E7}"/>
    <cellStyle name="Dane wyjściowe 7" xfId="737" xr:uid="{55A79A57-33BD-4372-A2E1-6E19FA8A92B5}"/>
    <cellStyle name="Dane wyjściowe 8" xfId="738" xr:uid="{6F181C9E-FBC0-4BBE-AC2C-2C3A5352255B}"/>
    <cellStyle name="Dane wyjściowe 9" xfId="739" xr:uid="{414BDA17-878A-458D-A9C3-CD0CC28653DD}"/>
    <cellStyle name="DM_Liczba" xfId="4" xr:uid="{00000000-0005-0000-0000-000000000000}"/>
    <cellStyle name="do_danych_szczegolowych" xfId="740" xr:uid="{FF694C97-7EA0-4CF9-90FF-F4CD78A73D38}"/>
    <cellStyle name="Dobre 10" xfId="742" xr:uid="{235F342F-051B-4D07-82BB-7E4171335E61}"/>
    <cellStyle name="Dobre 2" xfId="743" xr:uid="{1FA0054C-8AC6-47BD-9964-66F3800532AF}"/>
    <cellStyle name="Dobre 3" xfId="744" xr:uid="{0CF3A6EF-7DA0-4AA3-8CEB-EC4CF5F16C7B}"/>
    <cellStyle name="Dobre 4" xfId="745" xr:uid="{8F4364E7-9D22-4767-AC87-F218E9F51600}"/>
    <cellStyle name="Dobre 5" xfId="746" xr:uid="{D9E42E03-3966-4074-98A7-FA64C51C577C}"/>
    <cellStyle name="Dobre 6" xfId="747" xr:uid="{4D7A01DE-9FDE-4579-A3CD-66AB411E59DE}"/>
    <cellStyle name="Dobre 7" xfId="748" xr:uid="{D75AB3BF-BDE2-46BC-A0C6-E26AFCBE8FE3}"/>
    <cellStyle name="Dobre 8" xfId="749" xr:uid="{B91B656C-300D-44A0-8C96-59216F72C320}"/>
    <cellStyle name="Dobre 9" xfId="750" xr:uid="{FBEA3F4D-BEB5-4141-AB06-3D854C2F62B2}"/>
    <cellStyle name="Dobry" xfId="2" builtinId="26"/>
    <cellStyle name="Dobry 2" xfId="741" xr:uid="{62A3EEBB-BAB8-493C-9F16-E7FB85481C8E}"/>
    <cellStyle name="Dziesiętny" xfId="1" builtinId="3"/>
    <cellStyle name="Dziesiętny 10" xfId="752" xr:uid="{01E85482-805B-4AE0-B6C8-22368DC54050}"/>
    <cellStyle name="Dziesiętny 11" xfId="753" xr:uid="{5D19FE6F-55DF-4146-976F-9AD506261574}"/>
    <cellStyle name="Dziesiętny 12" xfId="751" xr:uid="{51428E01-58F4-47BB-BC94-8115FCBDBB9B}"/>
    <cellStyle name="Dziesiętny 13" xfId="6" xr:uid="{09ED0F9C-1AB7-4B6B-ACE4-D84D926EBAD0}"/>
    <cellStyle name="Dziesiętny 2" xfId="754" xr:uid="{5F7DACFC-4587-4C10-9467-A7D1597FDCE3}"/>
    <cellStyle name="Dziesiętny 2 10" xfId="755" xr:uid="{55E4008B-B337-4FBE-BA21-163EDD0336CA}"/>
    <cellStyle name="Dziesiętny 2 2" xfId="756" xr:uid="{EFA2ECA9-FFF2-4B85-BD31-5ADA9A42546A}"/>
    <cellStyle name="Dziesiętny 2 3" xfId="757" xr:uid="{5AF3EB6A-19FF-4FB4-B6A0-24CDB5999759}"/>
    <cellStyle name="Dziesiętny 2 4" xfId="758" xr:uid="{3F4D0AA3-88CE-4B14-ADD5-F8B51C9E764E}"/>
    <cellStyle name="Dziesiętny 2 47" xfId="993" xr:uid="{178D3A65-1081-426B-AD59-8DCCD95F694D}"/>
    <cellStyle name="Dziesiętny 2 5" xfId="759" xr:uid="{25C54E88-6F26-4E1C-8E57-823611EA6D66}"/>
    <cellStyle name="Dziesiętny 2 6" xfId="760" xr:uid="{B0D5E075-638E-4520-BA16-C8F3777BBDF0}"/>
    <cellStyle name="Dziesiętny 2 7" xfId="761" xr:uid="{1F6C85BB-D9E0-4E44-A51B-57DC79808497}"/>
    <cellStyle name="Dziesiętny 2 8" xfId="762" xr:uid="{349D01AC-752F-4F05-AEAD-7F57714672A8}"/>
    <cellStyle name="Dziesiętny 2 9" xfId="763" xr:uid="{D70DEF18-6B63-43E4-B4E5-5D5A20CF43D0}"/>
    <cellStyle name="Dziesiętny 3" xfId="764" xr:uid="{69D67259-6EBF-402C-865A-40602FE54244}"/>
    <cellStyle name="Dziesiętny 4" xfId="765" xr:uid="{582DA0F1-449E-4B97-A600-A46A2E643D56}"/>
    <cellStyle name="Dziesiętny 5" xfId="766" xr:uid="{B978604F-7699-4C3C-ADEE-1DCE05565E50}"/>
    <cellStyle name="Dziesiętny 6" xfId="767" xr:uid="{B9821C5B-3A3D-4B7B-A3ED-AFDC427BC97D}"/>
    <cellStyle name="Dziesiętny 7" xfId="768" xr:uid="{8AD2333B-F3B4-4BF4-A833-94D3FE8106B9}"/>
    <cellStyle name="Dziesiętny 8" xfId="769" xr:uid="{9787EA07-2DD6-4D64-895A-17114832280C}"/>
    <cellStyle name="Dziesiętny 9" xfId="770" xr:uid="{91E8DB9E-BA3C-4CC0-8A02-E31482B7B132}"/>
    <cellStyle name="E&amp;Y House" xfId="771" xr:uid="{F96DA869-0EC8-4034-B873-7E72F07EC0B2}"/>
    <cellStyle name="Euro" xfId="772" xr:uid="{DBE8E8F6-4810-456F-98BF-D00789B20DBB}"/>
    <cellStyle name="Euro 10" xfId="773" xr:uid="{575E9E6B-2F1A-4F4F-B43E-7AB7BBBE1164}"/>
    <cellStyle name="Euro 2" xfId="774" xr:uid="{9B179470-D7C3-4BD6-9D6A-DBF6F4F54903}"/>
    <cellStyle name="Euro 3" xfId="775" xr:uid="{3F4BA0A9-9E98-4566-9067-86A5A2F8D740}"/>
    <cellStyle name="Euro 4" xfId="776" xr:uid="{E5D970BF-216F-4DF5-BA4C-701525D30DE0}"/>
    <cellStyle name="Euro 5" xfId="777" xr:uid="{8245321A-E737-4715-847B-A5416E84219B}"/>
    <cellStyle name="Euro 6" xfId="778" xr:uid="{D9D738BB-BBD5-4F8B-A94F-C48AB459ACA8}"/>
    <cellStyle name="Euro 7" xfId="779" xr:uid="{003D60E9-6817-4459-AA76-995292A42C1A}"/>
    <cellStyle name="Euro 8" xfId="780" xr:uid="{65CBA26B-678D-4341-8749-EBECBFEA0E21}"/>
    <cellStyle name="Euro 9" xfId="781" xr:uid="{F5E55A8E-EF45-4C43-92BF-37DC0BA46A76}"/>
    <cellStyle name="EY0dp" xfId="782" xr:uid="{8B42B332-1CE5-46D9-AF88-BA6AE36EBC3E}"/>
    <cellStyle name="Heading" xfId="783" xr:uid="{BDF04041-1066-41E0-83B4-EE06C2C3C8AD}"/>
    <cellStyle name="Komórka połączona 10" xfId="784" xr:uid="{218280B5-4DF0-472B-B0F4-1073B99D4008}"/>
    <cellStyle name="Komórka połączona 2" xfId="785" xr:uid="{F2C78F32-E80D-48ED-9060-2F683233BA02}"/>
    <cellStyle name="Komórka połączona 3" xfId="786" xr:uid="{245DCADD-1680-4EDF-8E2C-AFAF98117561}"/>
    <cellStyle name="Komórka połączona 4" xfId="787" xr:uid="{BFE74921-0636-4426-9294-960435FC90BA}"/>
    <cellStyle name="Komórka połączona 5" xfId="788" xr:uid="{6F1038D4-CC2C-41B3-AAC5-0CA253D31F8E}"/>
    <cellStyle name="Komórka połączona 6" xfId="789" xr:uid="{B0376DD1-5538-4576-8A3E-C367684E92B3}"/>
    <cellStyle name="Komórka połączona 7" xfId="790" xr:uid="{8B2672D0-91B0-4BD6-9563-5A12BA934C5D}"/>
    <cellStyle name="Komórka połączona 8" xfId="791" xr:uid="{9E0C877F-3C0A-428F-A414-239811804E92}"/>
    <cellStyle name="Komórka połączona 9" xfId="792" xr:uid="{7C5F55A7-DEDE-4911-8FD2-E008AD99B585}"/>
    <cellStyle name="Komórka zaznaczona 10" xfId="793" xr:uid="{AC18AD2A-7AEE-4C14-B85E-0A7CC682A601}"/>
    <cellStyle name="Komórka zaznaczona 2" xfId="794" xr:uid="{41CE99DC-05D7-43DF-A3BF-207BF3390483}"/>
    <cellStyle name="Komórka zaznaczona 3" xfId="795" xr:uid="{95FF4B28-6D20-4310-9D41-626886D99D76}"/>
    <cellStyle name="Komórka zaznaczona 4" xfId="796" xr:uid="{77AF8430-9DA5-45E8-A782-6B27955B7241}"/>
    <cellStyle name="Komórka zaznaczona 5" xfId="797" xr:uid="{1D590E07-7551-48EC-9320-02A65CDC22E7}"/>
    <cellStyle name="Komórka zaznaczona 6" xfId="798" xr:uid="{D2D1ABF0-45B1-4038-BC74-B2CE1DD5F986}"/>
    <cellStyle name="Komórka zaznaczona 7" xfId="799" xr:uid="{F74B9769-0496-4098-924E-2B603788D8BA}"/>
    <cellStyle name="Komórka zaznaczona 8" xfId="800" xr:uid="{792EDF64-41CF-4FEA-A378-913410C6E664}"/>
    <cellStyle name="Komórka zaznaczona 9" xfId="801" xr:uid="{D24C789E-8AA6-4E00-B812-B84B974D9C2F}"/>
    <cellStyle name="měny_laroux" xfId="802" xr:uid="{A10E29D4-D915-49D4-90BB-B8928B5CE5F4}"/>
    <cellStyle name="Miglia - Style1" xfId="803" xr:uid="{34DCEEDC-80AC-4E7A-8E16-4E361D86E827}"/>
    <cellStyle name="Migliaia (0)" xfId="804" xr:uid="{472AE04F-40CD-4A4C-BA1D-1716B4EAA0BD}"/>
    <cellStyle name="Migliaia (0) 2" xfId="805" xr:uid="{7CEC4FE4-F1FD-4E6C-9F75-2695BBA59B8D}"/>
    <cellStyle name="Migliaia (0) 3" xfId="806" xr:uid="{855262AE-2DF1-4510-A354-78320353A213}"/>
    <cellStyle name="Migliaia (0) 4" xfId="807" xr:uid="{FC3D8A56-31CB-4FA1-A026-79831489CD17}"/>
    <cellStyle name="Migliaia (0) 5" xfId="808" xr:uid="{5F01D4BD-6228-4BAF-8EBE-0E0B591492FC}"/>
    <cellStyle name="Migliaia (0) 6" xfId="809" xr:uid="{73C271F5-E406-489D-9A5A-023AC43EF0E5}"/>
    <cellStyle name="Nagłówek 1 10" xfId="811" xr:uid="{166D00D2-D721-4E1E-985B-85A647554568}"/>
    <cellStyle name="Nagłówek 1 11" xfId="810" xr:uid="{63524A9C-5638-4C13-A6AC-10B66CB81DD0}"/>
    <cellStyle name="Nagłówek 1 2" xfId="812" xr:uid="{A53EF9E8-C96E-45E8-A9D6-6A1CA0901DC2}"/>
    <cellStyle name="Nagłówek 1 3" xfId="813" xr:uid="{A8A5A7A5-E404-4E9C-8931-E94697701D14}"/>
    <cellStyle name="Nagłówek 1 4" xfId="814" xr:uid="{9471BA95-B940-4391-83B6-2116A0D78BAB}"/>
    <cellStyle name="Nagłówek 1 5" xfId="815" xr:uid="{843B3614-AF5F-4432-9D2C-A5F7BD825B44}"/>
    <cellStyle name="Nagłówek 1 6" xfId="816" xr:uid="{D70953B2-476D-406C-B848-009BB987F415}"/>
    <cellStyle name="Nagłówek 1 7" xfId="817" xr:uid="{A633351B-49FD-4670-A2A6-7F653AA088BA}"/>
    <cellStyle name="Nagłówek 1 8" xfId="818" xr:uid="{B1088741-0B9D-4F02-BAE3-161A17F382CE}"/>
    <cellStyle name="Nagłówek 1 9" xfId="819" xr:uid="{E498EA8B-E0D0-4700-8133-CCDC51CBD1D1}"/>
    <cellStyle name="Nagłówek 2 10" xfId="821" xr:uid="{2D6150B3-5E47-40FD-B8E1-8169AFD010FD}"/>
    <cellStyle name="Nagłówek 2 11" xfId="820" xr:uid="{E34CA058-D090-4FA5-AE53-8FF3750D44AA}"/>
    <cellStyle name="Nagłówek 2 2" xfId="822" xr:uid="{17AF79DC-842E-491A-9671-25AF38AB25DF}"/>
    <cellStyle name="Nagłówek 2 3" xfId="823" xr:uid="{2FF0EA02-F8DC-4844-8554-21E5783E67E4}"/>
    <cellStyle name="Nagłówek 2 4" xfId="824" xr:uid="{8B8D191F-2FF0-40B2-A002-1BD6A0A3E43F}"/>
    <cellStyle name="Nagłówek 2 5" xfId="825" xr:uid="{6D76C2CC-DC79-436A-BD97-1985601705BD}"/>
    <cellStyle name="Nagłówek 2 6" xfId="826" xr:uid="{2E76BBCB-0671-4307-B3BE-3E5F3D82A3CF}"/>
    <cellStyle name="Nagłówek 2 7" xfId="827" xr:uid="{EC68C647-7A77-48AD-BFC9-3705442A03EB}"/>
    <cellStyle name="Nagłówek 2 8" xfId="828" xr:uid="{174125DA-C295-4496-B50F-264FAF874DE9}"/>
    <cellStyle name="Nagłówek 2 9" xfId="829" xr:uid="{EFAC4EA8-F939-4AEF-937F-E3FF40C4D875}"/>
    <cellStyle name="Nagłówek 3 10" xfId="831" xr:uid="{9370B24C-0C1A-42E2-A561-A842655BA394}"/>
    <cellStyle name="Nagłówek 3 11" xfId="830" xr:uid="{45F0E6D3-9FB5-4C6A-8AA9-3517525F7B8B}"/>
    <cellStyle name="Nagłówek 3 2" xfId="832" xr:uid="{64D12E8D-F3E0-458E-AEDF-A140395EF8E2}"/>
    <cellStyle name="Nagłówek 3 3" xfId="833" xr:uid="{CF6B6F17-F5D9-456C-A38B-83CF2F639800}"/>
    <cellStyle name="Nagłówek 3 4" xfId="834" xr:uid="{A9465BDD-4657-4BAF-A8F8-1DF8BA20D4F8}"/>
    <cellStyle name="Nagłówek 3 5" xfId="835" xr:uid="{34AACE6B-FCE6-471B-8CE1-257D58713BFB}"/>
    <cellStyle name="Nagłówek 3 6" xfId="836" xr:uid="{C5423855-7827-42F7-9BD4-B09990782E74}"/>
    <cellStyle name="Nagłówek 3 7" xfId="837" xr:uid="{23570F91-8666-422D-AD3D-C1D074E52FF5}"/>
    <cellStyle name="Nagłówek 3 8" xfId="838" xr:uid="{5D2824A3-3571-491C-81DC-5B4567BEADC1}"/>
    <cellStyle name="Nagłówek 3 9" xfId="839" xr:uid="{61742605-F3EA-48FF-B068-3B88B39B46CB}"/>
    <cellStyle name="Nagłówek 4 10" xfId="841" xr:uid="{A24BC751-C80C-46AC-8583-7C430942DFCA}"/>
    <cellStyle name="Nagłówek 4 11" xfId="840" xr:uid="{3076D5DB-086B-432D-8A40-7DEFAF72583C}"/>
    <cellStyle name="Nagłówek 4 2" xfId="842" xr:uid="{4A028BE2-98D7-4C0C-AE73-3FF462D03C57}"/>
    <cellStyle name="Nagłówek 4 3" xfId="843" xr:uid="{0870F467-EE7F-445F-9E19-372BD575AE0B}"/>
    <cellStyle name="Nagłówek 4 4" xfId="844" xr:uid="{02C66739-E346-4C12-BBA2-942CCC8DF463}"/>
    <cellStyle name="Nagłówek 4 5" xfId="845" xr:uid="{470C2F99-2C4F-464B-B988-6C4DE5AC2AF0}"/>
    <cellStyle name="Nagłówek 4 6" xfId="846" xr:uid="{4B35C850-1AC0-4CB3-8A83-CB94DBBC7834}"/>
    <cellStyle name="Nagłówek 4 7" xfId="847" xr:uid="{0B61BC88-5250-41F6-AF09-69911E311EE4}"/>
    <cellStyle name="Nagłówek 4 8" xfId="848" xr:uid="{1CF3C664-6237-4729-98F5-93A21013E8A9}"/>
    <cellStyle name="Nagłówek 4 9" xfId="849" xr:uid="{8C8659B0-CA45-46B8-8A64-6F714DCFF6E4}"/>
    <cellStyle name="Neutralne 10" xfId="851" xr:uid="{1A34D497-98A4-4AF4-86CA-77BF868A3FDC}"/>
    <cellStyle name="Neutralne 2" xfId="852" xr:uid="{D2EDA98E-F16A-4E0C-BFEC-86ADDEA81146}"/>
    <cellStyle name="Neutralne 3" xfId="853" xr:uid="{9680176A-20F4-47F8-A9A3-B49693C9EF04}"/>
    <cellStyle name="Neutralne 4" xfId="854" xr:uid="{51146650-F3D8-419B-88DC-51725157B740}"/>
    <cellStyle name="Neutralne 5" xfId="855" xr:uid="{2E17B111-1A06-42E0-A0E3-3BD59676A8D9}"/>
    <cellStyle name="Neutralne 6" xfId="856" xr:uid="{4A2238BE-2D1F-4A70-BD56-18C8C43C990E}"/>
    <cellStyle name="Neutralne 7" xfId="857" xr:uid="{831125C7-1EEB-4CB4-8513-79CB5ABDA198}"/>
    <cellStyle name="Neutralne 8" xfId="858" xr:uid="{D091F076-5004-4D71-8C14-07CFF6545AA4}"/>
    <cellStyle name="Neutralne 9" xfId="859" xr:uid="{E1E82946-29B9-4615-B104-30B871A6ADC5}"/>
    <cellStyle name="Neutralny 2" xfId="850" xr:uid="{CC6BD8AC-57E4-4C3D-BAC0-5690E4CE5497}"/>
    <cellStyle name="normální_laroux" xfId="860" xr:uid="{6B18DA8C-C4DE-4049-9D38-F18836E5CF9F}"/>
    <cellStyle name="Normalny" xfId="0" builtinId="0"/>
    <cellStyle name="Normalny 10" xfId="955" xr:uid="{0537F7D2-476D-4361-A09E-6C429DEF6270}"/>
    <cellStyle name="Normalny 2" xfId="3" xr:uid="{00000000-0005-0000-0000-000004000000}"/>
    <cellStyle name="Normalny 2 2" xfId="11" xr:uid="{A4F916B4-4A5D-4540-A13E-6018BE4525DE}"/>
    <cellStyle name="Normalny 2 3" xfId="861" xr:uid="{98CBAD5B-1950-4600-A473-CFF0F6C74F0B}"/>
    <cellStyle name="Normalny 3" xfId="10" xr:uid="{630F47B7-4028-4685-8581-53E54A57AD40}"/>
    <cellStyle name="Normalny 31" xfId="8" xr:uid="{49A72D9E-6EAF-46B2-B4C6-D1519F88736F}"/>
    <cellStyle name="Normalny 31 2" xfId="7" xr:uid="{A0610D22-6E75-424B-80B9-F18AD65C7F2F}"/>
    <cellStyle name="Normalny 4" xfId="12" xr:uid="{C0DA8846-3FFC-4343-9797-2D72D260EBD1}"/>
    <cellStyle name="Normalny 5" xfId="13" xr:uid="{D5348CF6-710F-411A-8C06-671435E560FE}"/>
    <cellStyle name="Normalny 5 2" xfId="992" xr:uid="{1DFA554C-4B7A-4AF9-B945-07A4C773E478}"/>
    <cellStyle name="Normalny 6" xfId="5" xr:uid="{3ED1D428-CB68-4BF3-A8E4-BA8CBE62EFAC}"/>
    <cellStyle name="Obliczenia 10" xfId="862" xr:uid="{C48B99D7-1443-4D9A-B308-D8F3CFA3A8D9}"/>
    <cellStyle name="Obliczenia 2" xfId="863" xr:uid="{4F8365C6-6C54-4A62-88C4-0943CAF6C898}"/>
    <cellStyle name="Obliczenia 3" xfId="864" xr:uid="{B25990EA-B0DB-406A-98D8-281AA9308A1A}"/>
    <cellStyle name="Obliczenia 4" xfId="865" xr:uid="{44AB7228-D139-4C4B-94AA-0CDB2341CFAE}"/>
    <cellStyle name="Obliczenia 5" xfId="866" xr:uid="{4E693942-C533-48B3-84C2-1AB78DA2794A}"/>
    <cellStyle name="Obliczenia 6" xfId="867" xr:uid="{3DDFE15B-B520-4B06-A683-2318F7E90CA1}"/>
    <cellStyle name="Obliczenia 7" xfId="868" xr:uid="{CB54345C-8147-4835-B1DC-D08EEF42FBB1}"/>
    <cellStyle name="Obliczenia 8" xfId="869" xr:uid="{A9785B44-F690-4949-9EB6-55217CF790C6}"/>
    <cellStyle name="Obliczenia 9" xfId="870" xr:uid="{EDBAF243-675A-4C5E-BCD4-3708C2FC9356}"/>
    <cellStyle name="Percent (0)" xfId="871" xr:uid="{D98C7294-F4C7-4B34-89E9-CD8324EBBF7A}"/>
    <cellStyle name="Percent (0) 2" xfId="872" xr:uid="{E0B1735F-BE99-4B9C-A1BA-59798F50A0AD}"/>
    <cellStyle name="Percent (0) 3" xfId="873" xr:uid="{3E49FB48-9879-4B2D-84C0-E0BF7EFC5B31}"/>
    <cellStyle name="Percent (0) 4" xfId="874" xr:uid="{4F7C5F13-84AE-4F5B-B346-3FA8FE2D051B}"/>
    <cellStyle name="Percent (0) 5" xfId="875" xr:uid="{8E94AF1A-C5C1-4D63-9A61-D4955377CE96}"/>
    <cellStyle name="Percent (0) 6" xfId="876" xr:uid="{140EA52D-5769-4476-B890-F8F37D8028CE}"/>
    <cellStyle name="Procentowy 10" xfId="878" xr:uid="{B35B494D-07A0-47C6-8FBE-EFDACF85E731}"/>
    <cellStyle name="Procentowy 11" xfId="877" xr:uid="{ECF64330-BD5B-4306-A7D8-5F6524C90B96}"/>
    <cellStyle name="Procentowy 2" xfId="879" xr:uid="{CD558790-256E-4B68-9C79-7E1A53A6A730}"/>
    <cellStyle name="Procentowy 3" xfId="880" xr:uid="{5F191FC7-B9B1-456B-8D50-17868B729FDD}"/>
    <cellStyle name="Procentowy 4" xfId="881" xr:uid="{15494899-A4F8-429F-8789-73DA7A6BB688}"/>
    <cellStyle name="Procentowy 5" xfId="882" xr:uid="{7D9FE60D-DFE6-4FE1-96F0-908B5A114D7A}"/>
    <cellStyle name="Procentowy 6" xfId="883" xr:uid="{48DAF22D-9F3C-4BD7-A0ED-F7D7222C5ED9}"/>
    <cellStyle name="Procentowy 7" xfId="884" xr:uid="{777C536D-3605-4FCE-8105-D6247A83227E}"/>
    <cellStyle name="Procentowy 8" xfId="885" xr:uid="{560F4662-0AA4-4322-9C05-A40E14E54F4D}"/>
    <cellStyle name="Procentowy 9" xfId="886" xr:uid="{A8D21F28-AB19-4B1F-ADA8-CDF86B473055}"/>
    <cellStyle name="Przecinek [0]" xfId="887" xr:uid="{D38D5A4C-6641-49FB-B7A8-B81C3FDED2F5}"/>
    <cellStyle name="Styl 1" xfId="888" xr:uid="{389633CA-19D3-4BCA-B957-FF759C7DBF4F}"/>
    <cellStyle name="Suma 10" xfId="890" xr:uid="{47FAE130-1D82-4767-9228-2776A8BE8D43}"/>
    <cellStyle name="Suma 11" xfId="889" xr:uid="{BA0A1C4A-1AF2-4943-8673-D8EDA9AF4844}"/>
    <cellStyle name="Suma 2" xfId="891" xr:uid="{A76B6CC3-C45A-496A-B935-653B61AB1D91}"/>
    <cellStyle name="Suma 3" xfId="892" xr:uid="{BFDEA3F0-6B53-4D8A-B9C5-67F4F1A0B923}"/>
    <cellStyle name="Suma 4" xfId="893" xr:uid="{9AC93116-2480-4447-95A6-78E3D1F4DC52}"/>
    <cellStyle name="Suma 5" xfId="894" xr:uid="{A9BF21BD-6F48-48B9-B7DA-727F047712FE}"/>
    <cellStyle name="Suma 6" xfId="895" xr:uid="{34388792-2AB9-4B20-9C62-A2437F5F6E51}"/>
    <cellStyle name="Suma 7" xfId="896" xr:uid="{A0268D97-33D2-443E-B481-ECB8403093BC}"/>
    <cellStyle name="Suma 8" xfId="897" xr:uid="{D7D4B344-5031-4AD2-8AB3-281068CFB192}"/>
    <cellStyle name="Suma 9" xfId="898" xr:uid="{A7562CB9-DA83-4C06-97AE-6CEB63E7764E}"/>
    <cellStyle name="Tekst objaśnienia 10" xfId="899" xr:uid="{1E056AA0-A8AB-4119-A101-162D9FEE5D9E}"/>
    <cellStyle name="Tekst objaśnienia 2" xfId="900" xr:uid="{C5CE34F4-2956-4459-9821-B01EB2B0D8A5}"/>
    <cellStyle name="Tekst objaśnienia 3" xfId="901" xr:uid="{DF3587C5-039A-486B-AEC4-024D5C7C4CC9}"/>
    <cellStyle name="Tekst objaśnienia 4" xfId="902" xr:uid="{9CAA91FC-BFD3-450A-949B-9B4002264582}"/>
    <cellStyle name="Tekst objaśnienia 5" xfId="903" xr:uid="{D7C46050-87EA-4CF7-831C-455E193EAB80}"/>
    <cellStyle name="Tekst objaśnienia 6" xfId="904" xr:uid="{0143522B-1CCF-4A78-A40F-0C86B75897DD}"/>
    <cellStyle name="Tekst objaśnienia 7" xfId="905" xr:uid="{F8C1D9BE-7144-4EF9-98F9-F5C661A584C0}"/>
    <cellStyle name="Tekst objaśnienia 8" xfId="906" xr:uid="{22EDEFC5-390E-48D2-AFF3-CC60F324E233}"/>
    <cellStyle name="Tekst objaśnienia 9" xfId="907" xr:uid="{FEB98F3F-583E-4BE2-AA3C-CB28780F2A58}"/>
    <cellStyle name="Tekst ostrzeżenia 10" xfId="908" xr:uid="{986D0BC9-5BE6-4820-8FFB-17ABD0FE03AF}"/>
    <cellStyle name="Tekst ostrzeżenia 2" xfId="909" xr:uid="{7DD3CE70-4BCF-4A82-8F7B-F86A00FA04E7}"/>
    <cellStyle name="Tekst ostrzeżenia 3" xfId="910" xr:uid="{ACA0C95E-E2BC-49ED-AAEE-451B52B63327}"/>
    <cellStyle name="Tekst ostrzeżenia 4" xfId="911" xr:uid="{C8C00B84-669C-4006-8771-23EBD2CF186A}"/>
    <cellStyle name="Tekst ostrzeżenia 5" xfId="912" xr:uid="{E6596F84-CB22-4579-8617-FC070E663436}"/>
    <cellStyle name="Tekst ostrzeżenia 6" xfId="913" xr:uid="{58D8E227-EB58-441C-82B5-9BD4F83D1C63}"/>
    <cellStyle name="Tekst ostrzeżenia 7" xfId="914" xr:uid="{4780F93A-717D-491D-AF94-6976402432D0}"/>
    <cellStyle name="Tekst ostrzeżenia 8" xfId="915" xr:uid="{8E959929-385D-4A16-BFAC-88D4069B2C80}"/>
    <cellStyle name="Tekst ostrzeżenia 9" xfId="916" xr:uid="{BA9E42B3-01EE-4708-B134-1DB34C45ED5E}"/>
    <cellStyle name="Tickmark" xfId="917" xr:uid="{96B27B6D-122A-4871-BD3A-131194FFBFD7}"/>
    <cellStyle name="Tytuł 10" xfId="919" xr:uid="{80343E9B-398D-452F-8709-8BBF8F20B035}"/>
    <cellStyle name="Tytuł 11" xfId="918" xr:uid="{D1F9EE63-CB63-4180-BE24-A14489CFDDB1}"/>
    <cellStyle name="Tytuł 2" xfId="920" xr:uid="{EFDB33E1-C0EA-42B3-B3EB-D55548FADB0C}"/>
    <cellStyle name="Tytuł 3" xfId="921" xr:uid="{329524F3-AC0F-4256-8D08-3453E1D1C8B9}"/>
    <cellStyle name="Tytuł 4" xfId="922" xr:uid="{918FA7E0-67DC-4C20-AF9C-9616FAF1EA72}"/>
    <cellStyle name="Tytuł 5" xfId="923" xr:uid="{DB92B5DF-1A74-439B-8F5F-23C44CF1FB8E}"/>
    <cellStyle name="Tytuł 6" xfId="924" xr:uid="{4620EE9B-EE04-49A7-ABBE-F529ED27F3D3}"/>
    <cellStyle name="Tytuł 7" xfId="925" xr:uid="{8092603E-FB88-4B1F-A03D-3B84D912CD03}"/>
    <cellStyle name="Tytuł 8" xfId="926" xr:uid="{3188360D-826B-4D57-8DDB-21EF81D28AC7}"/>
    <cellStyle name="Tytuł 9" xfId="927" xr:uid="{EDDCEB7E-5793-45D5-9233-A48E04481EC0}"/>
    <cellStyle name="Uwaga 10" xfId="928" xr:uid="{AD218DE3-5E7F-4CCF-8D39-0CF1CC158CEB}"/>
    <cellStyle name="Uwaga 2" xfId="929" xr:uid="{A97B780D-69FF-46D3-AD40-DB9D42EC65A8}"/>
    <cellStyle name="Uwaga 3" xfId="930" xr:uid="{C018A85A-EE2E-4B84-B9FF-7D4758E3481C}"/>
    <cellStyle name="Uwaga 4" xfId="931" xr:uid="{AFFDC9DE-12A0-4FB0-94A3-687E284AC979}"/>
    <cellStyle name="Uwaga 5" xfId="932" xr:uid="{68BAA4C2-8B11-4A8B-8A33-DE1C962F7DD8}"/>
    <cellStyle name="Uwaga 6" xfId="933" xr:uid="{7504567A-F2B4-40A5-9655-A0FBFE8A1278}"/>
    <cellStyle name="Uwaga 7" xfId="934" xr:uid="{0D2782F3-6C84-4A22-92BA-475D634EB796}"/>
    <cellStyle name="Uwaga 8" xfId="935" xr:uid="{4C505FB8-A181-4D18-AC9E-BBE358313928}"/>
    <cellStyle name="Uwaga 9" xfId="936" xr:uid="{E7364760-7544-4967-9716-6BD296F9E042}"/>
    <cellStyle name="Valuta - Style2" xfId="937" xr:uid="{3C5DE7C9-186F-4BDB-A6DA-C8CE2C8ADADB}"/>
    <cellStyle name="Valuta (0)" xfId="938" xr:uid="{10D6ADF2-443C-4167-A1CF-FBB15295F471}"/>
    <cellStyle name="Valuta (0) 2" xfId="939" xr:uid="{B50EB197-DA8C-41E1-AE7C-353DA7583BD8}"/>
    <cellStyle name="Valuta (0) 3" xfId="940" xr:uid="{4FFD6FD1-C8D1-4610-81BE-CF3C0789DBAA}"/>
    <cellStyle name="Valuta (0) 4" xfId="941" xr:uid="{290DAE56-7969-4937-9184-5B1FEDD67683}"/>
    <cellStyle name="Valuta (0) 5" xfId="942" xr:uid="{CFD21EFB-EBBE-4DB9-BD77-CE3376EE5456}"/>
    <cellStyle name="Valuta (0) 6" xfId="943" xr:uid="{12A51584-A355-4A36-8010-1280E6C02C2A}"/>
    <cellStyle name="Waluty [0]" xfId="944" xr:uid="{C55C7FE2-2767-4476-98D4-600FFF0C07DC}"/>
    <cellStyle name="Złe 10" xfId="946" xr:uid="{E5731315-052A-4E43-B1CF-08ADD452C1DF}"/>
    <cellStyle name="Złe 2" xfId="947" xr:uid="{EF4CFDDA-17C8-4AFE-BD40-048318BF45A9}"/>
    <cellStyle name="Złe 3" xfId="948" xr:uid="{39BD1AA8-3475-423D-B19F-4A48E1033B05}"/>
    <cellStyle name="Złe 4" xfId="949" xr:uid="{E4E2AC28-523F-4B76-A560-5C73B843776D}"/>
    <cellStyle name="Złe 5" xfId="950" xr:uid="{BDC9DA77-350D-4AD1-80BA-6633DE26C946}"/>
    <cellStyle name="Złe 6" xfId="951" xr:uid="{F613A79B-588C-4340-AC38-2130A3356213}"/>
    <cellStyle name="Złe 7" xfId="952" xr:uid="{72A6A35F-9684-4D1C-BF61-98C88BA6774C}"/>
    <cellStyle name="Złe 8" xfId="953" xr:uid="{9B762D82-A6D6-47CE-A60F-C2235C1E86C3}"/>
    <cellStyle name="Złe 9" xfId="954" xr:uid="{416EFFFC-AD11-4F4E-9CD8-8FF00065AA89}"/>
    <cellStyle name="Zły 2" xfId="945" xr:uid="{1DC25A4B-A9C8-4075-B146-40578EDBD131}"/>
  </cellStyles>
  <dxfs count="0"/>
  <tableStyles count="0" defaultTableStyle="TableStyleMedium2" defaultPivotStyle="PivotStyleLight16"/>
  <colors>
    <mruColors>
      <color rgb="FFFEF2EC"/>
      <color rgb="FFFF66CC"/>
      <color rgb="FFE2007A"/>
      <color rgb="FFF74B80"/>
      <color rgb="FF949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.tauronet.tauron.pl/15.20%20&#346;R&#211;DROCZNE%20MSSF%202016/2016%20-%20Q%20III/Sprawozdanie/MSSF_2016_QI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5.39%20KONSOLIDACJA%20MSSF%202022\sprawozdanie\excel%20SAP%20DM\aktualne\SKONSOLIDOWANE%20SPRAWOZDANIE%20Z%20SYTUACJI%20FINANSOWEJ_V104.xlsx" TargetMode="External"/><Relationship Id="rId1" Type="http://schemas.openxmlformats.org/officeDocument/2006/relationships/externalLinkPath" Target="/sites/PCUWR-FCO/Shared%20Documents/01_Grupa/200_Sprawozdawczosc/2022/12/42_Spreadsheet/excel%20SAP%20DM/aktualne/SKONSOLIDOWANE%20SPRAWOZDANIE%20Z%20SYTUACJI%20FINANSOWEJ_V10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5/03/10_Grupa/01_MSSF_Grupa/20250509/3%20Segmenty%20operacyjne.xlsx" TargetMode="External"/><Relationship Id="rId1" Type="http://schemas.openxmlformats.org/officeDocument/2006/relationships/externalLinkPath" Target="/sites/PCUWR-FCO/Shared%20Documents/01_Grupa/200_Sprawozdawczosc/2025/03/10_Grupa/01_MSSF_Grupa/20250509/3%20Segmenty%20operacyjn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4/12/10_Grupa/01_MSSF_Grupa/20250403/3%20Segmenty%20operacyjne.xlsx" TargetMode="External"/><Relationship Id="rId1" Type="http://schemas.openxmlformats.org/officeDocument/2006/relationships/externalLinkPath" Target="/sites/PCUWR-FCO/Shared%20Documents/01_Grupa/200_Sprawozdawczosc/2024/12/10_Grupa/01_MSSF_Grupa/20250403/3%20Segmenty%20operacyjne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4/09/10_Grupa/01_MSSF_Grupa/20241126/3%20Segmenty%20operacyjne.xlsx" TargetMode="External"/><Relationship Id="rId1" Type="http://schemas.openxmlformats.org/officeDocument/2006/relationships/externalLinkPath" Target="/sites/PCUWR-FCO/Shared%20Documents/01_Grupa/200_Sprawozdawczosc/2024/09/10_Grupa/01_MSSF_Grupa/20241126/3%20Segmenty%20operacyjne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4/03/10_Grupa/01_MSSF_Grupa/20240517/3%20Segmenty%20operacyjne.xlsx" TargetMode="External"/><Relationship Id="rId1" Type="http://schemas.openxmlformats.org/officeDocument/2006/relationships/externalLinkPath" Target="/sites/PCUWR-FCO/Shared%20Documents/01_Grupa/200_Sprawozdawczosc/2024/03/10_Grupa/01_MSSF_Grupa/20240517/3%20Segmenty%20operacyjne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12/10_Grupa/01_MSSF_Grupa/20240404/3%20Segmenty%20operacyjne.xlsx" TargetMode="External"/><Relationship Id="rId1" Type="http://schemas.openxmlformats.org/officeDocument/2006/relationships/externalLinkPath" Target="/sites/PCUWR-FCO/Shared%20Documents/01_Grupa/200_Sprawozdawczosc/2023/12/10_Grupa/01_MSSF_Grupa/20240404/3%20Segmenty%20operacyjne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9/10_Grupa/01_MSSF_Grupa/20231116/3%20Segmenty%20operacyjne_V51.xlsx" TargetMode="External"/><Relationship Id="rId1" Type="http://schemas.openxmlformats.org/officeDocument/2006/relationships/externalLinkPath" Target="/sites/PCUWR-FCO/Shared%20Documents/01_Grupa/200_Sprawozdawczosc/2023/09/10_Grupa/01_MSSF_Grupa/20231116/3%20Segmenty%20operacyjne_V5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6/10_Grupa/01_MSSF_Grupa/20230824/3%20Segmenty%20operacyjne_V73.xlsx" TargetMode="External"/><Relationship Id="rId1" Type="http://schemas.openxmlformats.org/officeDocument/2006/relationships/externalLinkPath" Target="/sites/PCUWR-FCO/Shared%20Documents/01_Grupa/200_Sprawozdawczosc/2023/06/10_Grupa/01_MSSF_Grupa/20230824/3%20Segmenty%20operacyjne_V7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3/10_Grupa/01_MSSF_Grupa/20230516/3%20Segmenty%20operacyjne_V53.xlsx" TargetMode="External"/><Relationship Id="rId1" Type="http://schemas.openxmlformats.org/officeDocument/2006/relationships/externalLinkPath" Target="/sites/PCUWR-FCO/Shared%20Documents/01_Grupa/200_Sprawozdawczosc/2023/03/10_Grupa/01_MSSF_Grupa/20230516/3%20Segmenty%20operacyjne_V5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4/06/10_Grupa/01_MSSF_Grupa/20240828/3%20Segmenty%20operacyjne.xlsx" TargetMode="External"/><Relationship Id="rId1" Type="http://schemas.openxmlformats.org/officeDocument/2006/relationships/externalLinkPath" Target="/sites/PCUWR-FCO/Shared%20Documents/01_Grupa/200_Sprawozdawczosc/2024/06/10_Grupa/01_MSSF_Grupa/20240828/3%20Segmenty%20operacyjne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ozielski\AppData\Local\Microsoft\Windows\INetCache\Content.Outlook\O1TP061V\Tauron_spreadsheet_%202024%20v2.xlsx" TargetMode="External"/><Relationship Id="rId1" Type="http://schemas.openxmlformats.org/officeDocument/2006/relationships/externalLinkPath" Target="file:///C:\Users\akozielski\AppData\Local\Microsoft\Windows\INetCache\Content.Outlook\O1TP061V\Tauron_spreadsheet_%202024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RZS3"/>
      <sheetName val="RZS3 FIN"/>
      <sheetName val="BZ1"/>
      <sheetName val="KAP"/>
      <sheetName val="CF2"/>
      <sheetName val="Skład Grupy bezp i pośr"/>
      <sheetName val="szacunki i osądy"/>
      <sheetName val="aktuariusz_zał"/>
      <sheetName val="nowe standardy"/>
      <sheetName val="nowe standardy ANGIELSKA WERSJA"/>
      <sheetName val="zmiana porównywalności SSzCD"/>
      <sheetName val="zmiana porównywalności SSzSF"/>
      <sheetName val="Segmenty"/>
      <sheetName val="1_1 "/>
      <sheetName val="1_1  trzy m-ce"/>
      <sheetName val="1_3_1"/>
      <sheetName val="2_5"/>
      <sheetName val="2_3"/>
      <sheetName val="2_4"/>
      <sheetName val="2_34"/>
      <sheetName val="4_1"/>
      <sheetName val="3_2"/>
      <sheetName val="8_1 "/>
      <sheetName val="8_1 zakupy"/>
      <sheetName val="Wartość firmy"/>
      <sheetName val="11_1"/>
      <sheetName val="11_1 PM długoterm"/>
      <sheetName val="pożyczki ECSW"/>
      <sheetName val="JV"/>
      <sheetName val="poz. akt. fin."/>
      <sheetName val="21_1, 21_2 poz. akt. niefin"/>
      <sheetName val="należności z tytułu podatków"/>
      <sheetName val="11_9_11_10"/>
      <sheetName val="18"/>
      <sheetName val="19_1"/>
      <sheetName val="20"/>
      <sheetName val="akcjonariat"/>
      <sheetName val="IRS"/>
      <sheetName val="zysk na akcję"/>
      <sheetName val="kredyty i obl razem"/>
      <sheetName val="kredyty pożyczki"/>
      <sheetName val="kredyty i pożyczki"/>
      <sheetName val="ruchy kredytów i pożyczek"/>
      <sheetName val="kr i poż główne pozycje"/>
      <sheetName val="obligacje"/>
      <sheetName val="ruchy obligacji"/>
      <sheetName val="pochodne"/>
      <sheetName val="IP met. wyceny"/>
      <sheetName val="rezerwy prac. razem"/>
      <sheetName val="22_1,22_2"/>
      <sheetName val="22_4"/>
      <sheetName val="23 rez likwid śr trw i rekultyw"/>
      <sheetName val="23 rez n zob z t św poch energ"/>
      <sheetName val="23 pozostałe rezerwy"/>
      <sheetName val="21_3,21_4 RMK. RMP"/>
      <sheetName val="24_1,24_2 poz. zob."/>
      <sheetName val="24_1,24_2 poz. zob. podatkowe "/>
      <sheetName val="Zob. inwestycyjne"/>
      <sheetName val="zob. warunkowe "/>
      <sheetName val="zob. war. podatki"/>
      <sheetName val="16_6_1 zab. spłaty zob."/>
      <sheetName val="zab.spłaty zob. 2 (2)"/>
      <sheetName val="transakcje JV"/>
      <sheetName val="SSP"/>
      <sheetName val="25"/>
      <sheetName val="instr. finansowe"/>
      <sheetName val="hierarchia wartości godziwej"/>
      <sheetName val="cash flow"/>
      <sheetName val="NBGT"/>
      <sheetName val="testy RAT CGU"/>
      <sheetName val="testy wrażliwość"/>
      <sheetName val="testy RAT CGU 2"/>
      <sheetName val="testy WF założenia"/>
    </sheetNames>
    <sheetDataSet>
      <sheetData sheetId="0">
        <row r="20">
          <cell r="B20" t="str">
            <v>Okres 9 miesięcy zakończony 
30 września 2016</v>
          </cell>
          <cell r="D20" t="str">
            <v>9-month period ended 
30 September 2016</v>
          </cell>
        </row>
        <row r="21">
          <cell r="B21" t="str">
            <v>Okres 9 miesięcy zakończony  
30 września 2015</v>
          </cell>
          <cell r="D21" t="str">
            <v>9-month period ended 
30 September 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Settings"/>
      <sheetName val="ToC"/>
      <sheetName val="BZ"/>
      <sheetName val="BZ1"/>
      <sheetName val="BZ3"/>
      <sheetName val="MSSF5_BZ"/>
      <sheetName val="BZ4"/>
      <sheetName val="BIPMETAWS"/>
      <sheetName val="BD1"/>
      <sheetName val="BD2"/>
      <sheetName val="BD3"/>
      <sheetName val="BD4"/>
      <sheetName val="DM_Variables"/>
      <sheetName val="BMD1"/>
      <sheetName val="BD5"/>
      <sheetName val="MASSBIPMETAWS"/>
    </sheetNames>
    <sheetDataSet>
      <sheetData sheetId="0" refreshError="1"/>
      <sheetData sheetId="1">
        <row r="7">
          <cell r="E7">
            <v>1000000</v>
          </cell>
        </row>
        <row r="9">
          <cell r="E9">
            <v>0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"/>
      <sheetName val="1_1"/>
      <sheetName val="18"/>
      <sheetName val="Nakłady inwesycyjne TW"/>
      <sheetName val="przekształcenie Veolia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Nakłady inwestycyjne TWD 2Q2022"/>
      <sheetName val="BD10"/>
      <sheetName val="BD11"/>
    </sheetNames>
    <sheetDataSet>
      <sheetData sheetId="0" refreshError="1"/>
      <sheetData sheetId="1" refreshError="1"/>
      <sheetData sheetId="2" refreshError="1"/>
      <sheetData sheetId="3" refreshError="1">
        <row r="35">
          <cell r="B35">
            <v>23</v>
          </cell>
          <cell r="C35">
            <v>23</v>
          </cell>
          <cell r="D35">
            <v>191</v>
          </cell>
          <cell r="E35">
            <v>768</v>
          </cell>
          <cell r="F35">
            <v>1</v>
          </cell>
          <cell r="G35">
            <v>66</v>
          </cell>
        </row>
        <row r="71">
          <cell r="B71">
            <v>25</v>
          </cell>
          <cell r="C71">
            <v>20</v>
          </cell>
          <cell r="D71">
            <v>99</v>
          </cell>
          <cell r="E71">
            <v>657</v>
          </cell>
          <cell r="F71">
            <v>1</v>
          </cell>
          <cell r="G71">
            <v>45</v>
          </cell>
        </row>
      </sheetData>
      <sheetData sheetId="4">
        <row r="9">
          <cell r="B9">
            <v>2220</v>
          </cell>
          <cell r="C9">
            <v>813</v>
          </cell>
          <cell r="D9">
            <v>295</v>
          </cell>
          <cell r="E9">
            <v>3213</v>
          </cell>
          <cell r="F9">
            <v>6641</v>
          </cell>
          <cell r="G9">
            <v>369</v>
          </cell>
          <cell r="H9">
            <v>-4254</v>
          </cell>
          <cell r="I9">
            <v>9297</v>
          </cell>
        </row>
        <row r="19">
          <cell r="I19">
            <v>1131</v>
          </cell>
        </row>
        <row r="25">
          <cell r="B25">
            <v>4553</v>
          </cell>
          <cell r="C25">
            <v>2703</v>
          </cell>
          <cell r="D25">
            <v>5692</v>
          </cell>
          <cell r="E25">
            <v>26513</v>
          </cell>
          <cell r="F25">
            <v>6138</v>
          </cell>
          <cell r="G25">
            <v>1889</v>
          </cell>
          <cell r="H25">
            <v>1184</v>
          </cell>
        </row>
        <row r="31">
          <cell r="B31">
            <v>242</v>
          </cell>
          <cell r="C31">
            <v>90</v>
          </cell>
          <cell r="D31">
            <v>122</v>
          </cell>
          <cell r="E31">
            <v>859</v>
          </cell>
          <cell r="F31">
            <v>447</v>
          </cell>
          <cell r="G31">
            <v>38</v>
          </cell>
          <cell r="H31">
            <v>-40</v>
          </cell>
        </row>
        <row r="34">
          <cell r="B34">
            <v>295</v>
          </cell>
          <cell r="C34">
            <v>123</v>
          </cell>
          <cell r="D34">
            <v>180</v>
          </cell>
          <cell r="E34">
            <v>1226</v>
          </cell>
          <cell r="F34">
            <v>448</v>
          </cell>
          <cell r="G34">
            <v>102</v>
          </cell>
          <cell r="H34">
            <v>-43</v>
          </cell>
          <cell r="I34">
            <v>2331</v>
          </cell>
        </row>
        <row r="37">
          <cell r="I37">
            <v>1072</v>
          </cell>
        </row>
        <row r="47">
          <cell r="B47">
            <v>2168</v>
          </cell>
          <cell r="C47">
            <v>810</v>
          </cell>
          <cell r="D47">
            <v>292</v>
          </cell>
          <cell r="E47">
            <v>2838</v>
          </cell>
          <cell r="F47">
            <v>6802</v>
          </cell>
          <cell r="G47">
            <v>372</v>
          </cell>
          <cell r="H47">
            <v>-4798</v>
          </cell>
        </row>
        <row r="63">
          <cell r="B63">
            <v>4305</v>
          </cell>
          <cell r="C63">
            <v>2768</v>
          </cell>
          <cell r="D63">
            <v>5192</v>
          </cell>
          <cell r="E63">
            <v>25961</v>
          </cell>
          <cell r="F63">
            <v>4445</v>
          </cell>
          <cell r="G63">
            <v>1897</v>
          </cell>
          <cell r="H63">
            <v>1146</v>
          </cell>
        </row>
        <row r="69">
          <cell r="B69">
            <v>102</v>
          </cell>
          <cell r="C69">
            <v>103</v>
          </cell>
          <cell r="D69">
            <v>182</v>
          </cell>
          <cell r="E69">
            <v>674</v>
          </cell>
          <cell r="F69">
            <v>272</v>
          </cell>
          <cell r="G69">
            <v>43</v>
          </cell>
          <cell r="H69">
            <v>-46</v>
          </cell>
        </row>
        <row r="72">
          <cell r="B72">
            <v>165</v>
          </cell>
          <cell r="C72">
            <v>135</v>
          </cell>
          <cell r="D72">
            <v>229</v>
          </cell>
          <cell r="E72">
            <v>1015</v>
          </cell>
          <cell r="F72">
            <v>273</v>
          </cell>
          <cell r="G72">
            <v>113</v>
          </cell>
          <cell r="H72">
            <v>-47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 CY"/>
      <sheetName val="segmenty prez PY"/>
      <sheetName val="segmenty"/>
      <sheetName val="1_1"/>
      <sheetName val="18"/>
      <sheetName val="Nakłady inwest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2_5 2021"/>
      <sheetName val="BD14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8215</v>
          </cell>
          <cell r="C9">
            <v>2193</v>
          </cell>
          <cell r="D9">
            <v>987</v>
          </cell>
          <cell r="E9">
            <v>11434</v>
          </cell>
          <cell r="F9">
            <v>27230</v>
          </cell>
          <cell r="G9">
            <v>1215</v>
          </cell>
          <cell r="H9">
            <v>-18739</v>
          </cell>
          <cell r="I9">
            <v>32535</v>
          </cell>
        </row>
        <row r="19">
          <cell r="I19">
            <v>590</v>
          </cell>
        </row>
        <row r="25">
          <cell r="B25">
            <v>4305</v>
          </cell>
          <cell r="C25">
            <v>2768</v>
          </cell>
          <cell r="D25">
            <v>5192</v>
          </cell>
          <cell r="E25">
            <v>25961</v>
          </cell>
          <cell r="F25">
            <v>5132</v>
          </cell>
          <cell r="G25">
            <v>1210</v>
          </cell>
          <cell r="H25">
            <v>1146</v>
          </cell>
        </row>
        <row r="31">
          <cell r="B31">
            <v>-1046</v>
          </cell>
          <cell r="C31">
            <v>161</v>
          </cell>
          <cell r="D31">
            <v>497</v>
          </cell>
          <cell r="E31">
            <v>2547</v>
          </cell>
          <cell r="F31">
            <v>547</v>
          </cell>
          <cell r="G31">
            <v>118</v>
          </cell>
          <cell r="H31">
            <v>-173</v>
          </cell>
        </row>
        <row r="34">
          <cell r="B34">
            <v>746</v>
          </cell>
          <cell r="C34">
            <v>302</v>
          </cell>
          <cell r="D34">
            <v>684</v>
          </cell>
          <cell r="E34">
            <v>3963</v>
          </cell>
          <cell r="F34">
            <v>598</v>
          </cell>
          <cell r="G34">
            <v>359</v>
          </cell>
          <cell r="H34">
            <v>-182</v>
          </cell>
          <cell r="I34">
            <v>6470</v>
          </cell>
        </row>
        <row r="37">
          <cell r="B37">
            <v>114</v>
          </cell>
          <cell r="C37">
            <v>135</v>
          </cell>
          <cell r="D37">
            <v>1514</v>
          </cell>
          <cell r="E37">
            <v>3103</v>
          </cell>
          <cell r="F37">
            <v>75</v>
          </cell>
          <cell r="G37">
            <v>186</v>
          </cell>
          <cell r="I37">
            <v>5127</v>
          </cell>
        </row>
        <row r="47">
          <cell r="B47">
            <v>11223</v>
          </cell>
          <cell r="C47">
            <v>2561</v>
          </cell>
          <cell r="D47">
            <v>750</v>
          </cell>
          <cell r="E47">
            <v>11155</v>
          </cell>
          <cell r="F47">
            <v>35188</v>
          </cell>
          <cell r="G47">
            <v>1118</v>
          </cell>
          <cell r="H47">
            <v>-20018</v>
          </cell>
          <cell r="I47">
            <v>41977</v>
          </cell>
        </row>
        <row r="57">
          <cell r="I57">
            <v>1128</v>
          </cell>
        </row>
        <row r="63">
          <cell r="B63">
            <v>7018</v>
          </cell>
          <cell r="C63">
            <v>2995</v>
          </cell>
          <cell r="D63">
            <v>3971</v>
          </cell>
          <cell r="E63">
            <v>24194</v>
          </cell>
          <cell r="F63">
            <v>7921</v>
          </cell>
          <cell r="G63">
            <v>1291</v>
          </cell>
          <cell r="H63">
            <v>1748</v>
          </cell>
        </row>
        <row r="69">
          <cell r="B69">
            <v>662</v>
          </cell>
          <cell r="C69">
            <v>-301</v>
          </cell>
          <cell r="D69">
            <v>261</v>
          </cell>
          <cell r="E69">
            <v>1630</v>
          </cell>
          <cell r="F69">
            <v>409</v>
          </cell>
          <cell r="G69">
            <v>82</v>
          </cell>
          <cell r="H69">
            <v>-29</v>
          </cell>
        </row>
        <row r="72">
          <cell r="B72">
            <v>1270</v>
          </cell>
          <cell r="C72">
            <v>123</v>
          </cell>
          <cell r="D72">
            <v>431</v>
          </cell>
          <cell r="E72">
            <v>2962</v>
          </cell>
          <cell r="F72">
            <v>454</v>
          </cell>
          <cell r="G72">
            <v>257</v>
          </cell>
          <cell r="H72">
            <v>-32</v>
          </cell>
          <cell r="I72">
            <v>5465</v>
          </cell>
        </row>
        <row r="75">
          <cell r="B75">
            <v>301</v>
          </cell>
          <cell r="C75">
            <v>273</v>
          </cell>
          <cell r="D75">
            <v>593</v>
          </cell>
          <cell r="E75">
            <v>2763</v>
          </cell>
          <cell r="F75">
            <v>109</v>
          </cell>
          <cell r="G75">
            <v>325</v>
          </cell>
          <cell r="I75">
            <v>4364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"/>
      <sheetName val="segmenty 3 m-ce PREZ"/>
      <sheetName val="segmenty 3 m-ce"/>
      <sheetName val="1_1"/>
      <sheetName val="18"/>
      <sheetName val="Nakłady inwesycyjne TW"/>
      <sheetName val="przekształcenie Veolia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Nakłady inwestycyjne TWD 2Q2022"/>
      <sheetName val="BD10"/>
      <sheetName val="BD11"/>
    </sheetNames>
    <sheetDataSet>
      <sheetData sheetId="0" refreshError="1"/>
      <sheetData sheetId="1" refreshError="1"/>
      <sheetData sheetId="2" refreshError="1"/>
      <sheetData sheetId="3" refreshError="1">
        <row r="35">
          <cell r="B35">
            <v>70</v>
          </cell>
          <cell r="C35">
            <v>92</v>
          </cell>
          <cell r="D35">
            <v>1141</v>
          </cell>
          <cell r="E35">
            <v>2164</v>
          </cell>
          <cell r="F35">
            <v>47</v>
          </cell>
          <cell r="G35">
            <v>135</v>
          </cell>
        </row>
        <row r="71">
          <cell r="B71">
            <v>217</v>
          </cell>
          <cell r="C71">
            <v>166</v>
          </cell>
          <cell r="D71">
            <v>396</v>
          </cell>
          <cell r="E71">
            <v>1896</v>
          </cell>
          <cell r="F71">
            <v>70</v>
          </cell>
          <cell r="G71">
            <v>142</v>
          </cell>
        </row>
      </sheetData>
      <sheetData sheetId="4" refreshError="1">
        <row r="9">
          <cell r="B9">
            <v>5653</v>
          </cell>
          <cell r="C9">
            <v>1394</v>
          </cell>
          <cell r="D9">
            <v>688</v>
          </cell>
          <cell r="E9">
            <v>8127</v>
          </cell>
          <cell r="F9">
            <v>20124</v>
          </cell>
          <cell r="G9">
            <v>937</v>
          </cell>
          <cell r="H9">
            <v>-13893</v>
          </cell>
          <cell r="I9">
            <v>23030</v>
          </cell>
        </row>
        <row r="19">
          <cell r="I19">
            <v>-207</v>
          </cell>
        </row>
        <row r="25">
          <cell r="B25">
            <v>4907</v>
          </cell>
          <cell r="C25">
            <v>2586</v>
          </cell>
          <cell r="D25">
            <v>5079</v>
          </cell>
          <cell r="E25">
            <v>25309</v>
          </cell>
          <cell r="F25">
            <v>5215</v>
          </cell>
          <cell r="G25">
            <v>1265</v>
          </cell>
          <cell r="H25">
            <v>1436</v>
          </cell>
        </row>
        <row r="31">
          <cell r="B31">
            <v>-1374</v>
          </cell>
          <cell r="C31">
            <v>-4</v>
          </cell>
          <cell r="D31">
            <v>351</v>
          </cell>
          <cell r="E31">
            <v>1591</v>
          </cell>
          <cell r="F31">
            <v>721</v>
          </cell>
          <cell r="G31">
            <v>146</v>
          </cell>
          <cell r="H31">
            <v>-126</v>
          </cell>
        </row>
        <row r="34">
          <cell r="B34">
            <v>309</v>
          </cell>
          <cell r="C34">
            <v>223</v>
          </cell>
          <cell r="D34">
            <v>494</v>
          </cell>
          <cell r="E34">
            <v>2638</v>
          </cell>
          <cell r="F34">
            <v>762</v>
          </cell>
          <cell r="G34">
            <v>314</v>
          </cell>
          <cell r="H34">
            <v>-134</v>
          </cell>
          <cell r="I34">
            <v>4606</v>
          </cell>
        </row>
        <row r="37">
          <cell r="I37">
            <v>3649</v>
          </cell>
        </row>
        <row r="47">
          <cell r="B47">
            <v>8189</v>
          </cell>
          <cell r="C47">
            <v>1664</v>
          </cell>
          <cell r="D47">
            <v>561</v>
          </cell>
          <cell r="E47">
            <v>8961</v>
          </cell>
          <cell r="F47">
            <v>26662</v>
          </cell>
          <cell r="G47">
            <v>784</v>
          </cell>
          <cell r="H47">
            <v>-15038</v>
          </cell>
          <cell r="I47">
            <v>31783</v>
          </cell>
        </row>
        <row r="63">
          <cell r="B63">
            <v>7018</v>
          </cell>
          <cell r="C63">
            <v>2995</v>
          </cell>
          <cell r="D63">
            <v>3971</v>
          </cell>
          <cell r="E63">
            <v>24194</v>
          </cell>
          <cell r="F63">
            <v>8581</v>
          </cell>
          <cell r="G63">
            <v>1291</v>
          </cell>
          <cell r="H63">
            <v>1748</v>
          </cell>
        </row>
        <row r="69">
          <cell r="B69">
            <v>605</v>
          </cell>
          <cell r="C69">
            <v>140</v>
          </cell>
          <cell r="D69">
            <v>179</v>
          </cell>
          <cell r="E69">
            <v>2442</v>
          </cell>
          <cell r="F69">
            <v>410</v>
          </cell>
          <cell r="G69">
            <v>32</v>
          </cell>
          <cell r="H69">
            <v>17</v>
          </cell>
        </row>
        <row r="72">
          <cell r="B72">
            <v>876</v>
          </cell>
          <cell r="C72">
            <v>221</v>
          </cell>
          <cell r="D72">
            <v>321</v>
          </cell>
          <cell r="E72">
            <v>3426</v>
          </cell>
          <cell r="F72">
            <v>452</v>
          </cell>
          <cell r="G72">
            <v>160</v>
          </cell>
          <cell r="H72">
            <v>15</v>
          </cell>
        </row>
      </sheetData>
      <sheetData sheetId="5" refreshError="1">
        <row r="25">
          <cell r="B25">
            <v>30</v>
          </cell>
          <cell r="C25">
            <v>39</v>
          </cell>
          <cell r="D25">
            <v>909</v>
          </cell>
          <cell r="E25">
            <v>764</v>
          </cell>
          <cell r="F25">
            <v>16</v>
          </cell>
          <cell r="G25">
            <v>32</v>
          </cell>
        </row>
        <row r="54">
          <cell r="B54">
            <v>99</v>
          </cell>
          <cell r="C54">
            <v>89</v>
          </cell>
          <cell r="D54">
            <v>86</v>
          </cell>
          <cell r="E54">
            <v>676</v>
          </cell>
          <cell r="F54">
            <v>24</v>
          </cell>
          <cell r="G54">
            <v>48</v>
          </cell>
        </row>
      </sheetData>
      <sheetData sheetId="6" refreshError="1">
        <row r="69">
          <cell r="B69">
            <v>1870</v>
          </cell>
          <cell r="C69">
            <v>247</v>
          </cell>
          <cell r="D69">
            <v>176</v>
          </cell>
          <cell r="E69">
            <v>2876</v>
          </cell>
          <cell r="F69">
            <v>8421</v>
          </cell>
          <cell r="G69">
            <v>309</v>
          </cell>
          <cell r="H69">
            <v>-6153</v>
          </cell>
        </row>
        <row r="81">
          <cell r="B81">
            <v>120</v>
          </cell>
          <cell r="C81">
            <v>31</v>
          </cell>
          <cell r="D81">
            <v>77</v>
          </cell>
          <cell r="E81">
            <v>665</v>
          </cell>
          <cell r="F81">
            <v>48</v>
          </cell>
          <cell r="G81">
            <v>43</v>
          </cell>
          <cell r="H81">
            <v>-38</v>
          </cell>
        </row>
        <row r="84">
          <cell r="B84">
            <v>153</v>
          </cell>
          <cell r="C84">
            <v>57</v>
          </cell>
          <cell r="D84">
            <v>125</v>
          </cell>
          <cell r="E84">
            <v>1022</v>
          </cell>
          <cell r="F84">
            <v>63</v>
          </cell>
          <cell r="G84">
            <v>100</v>
          </cell>
          <cell r="H84">
            <v>-43</v>
          </cell>
        </row>
        <row r="100">
          <cell r="B100">
            <v>2455</v>
          </cell>
          <cell r="C100">
            <v>278</v>
          </cell>
          <cell r="D100">
            <v>121</v>
          </cell>
          <cell r="E100">
            <v>2845</v>
          </cell>
          <cell r="F100">
            <v>6359</v>
          </cell>
          <cell r="G100">
            <v>267</v>
          </cell>
          <cell r="H100">
            <v>-3165</v>
          </cell>
        </row>
        <row r="112">
          <cell r="B112">
            <v>25</v>
          </cell>
          <cell r="C112">
            <v>-11</v>
          </cell>
          <cell r="D112">
            <v>-1</v>
          </cell>
          <cell r="E112">
            <v>763</v>
          </cell>
          <cell r="F112">
            <v>-105</v>
          </cell>
          <cell r="G112">
            <v>1</v>
          </cell>
          <cell r="H112">
            <v>-32</v>
          </cell>
        </row>
        <row r="115">
          <cell r="B115">
            <v>118</v>
          </cell>
          <cell r="C115">
            <v>16</v>
          </cell>
          <cell r="D115">
            <v>45</v>
          </cell>
          <cell r="E115">
            <v>1098</v>
          </cell>
          <cell r="F115">
            <v>-92</v>
          </cell>
          <cell r="G115">
            <v>46</v>
          </cell>
          <cell r="H115">
            <v>-34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I_ulwRDx0muSQtSa50oM25La2btQx1Lrl5tkuoSV10-3-Hf9YIjS50LNQVGzyJP" itemId="01FHHTKUVTXMXYDQ3REJEJH3G2OWHXFNQN">
      <xxl21:absoluteUrl r:id="rId2"/>
    </xxl21:alternateUrls>
    <sheetNames>
      <sheetName val="ToC"/>
      <sheetName val="BIPMETAWS"/>
      <sheetName val="Settings"/>
      <sheetName val="segmenty prez"/>
      <sheetName val="segmenty PY"/>
      <sheetName val="segmenty"/>
      <sheetName val="segmenty 3 m-ce PREZ"/>
      <sheetName val="segmenty 3 m-ce PY"/>
      <sheetName val="segmenty 3 m-ce"/>
      <sheetName val="Działalność zaniech.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3Q2022"/>
      <sheetName val="działalność zaniechana"/>
      <sheetName val="BD11"/>
      <sheetName val="2_5 3Q2022"/>
      <sheetName val="BD12"/>
      <sheetName val="BD13"/>
    </sheetNames>
    <sheetDataSet>
      <sheetData sheetId="0" refreshError="1"/>
      <sheetData sheetId="1" refreshError="1"/>
      <sheetData sheetId="2" refreshError="1"/>
      <sheetData sheetId="3" refreshError="1">
        <row r="9">
          <cell r="G9">
            <v>-4371</v>
          </cell>
        </row>
        <row r="12">
          <cell r="G12">
            <v>-46</v>
          </cell>
        </row>
        <row r="16">
          <cell r="G16">
            <v>-47</v>
          </cell>
        </row>
        <row r="27">
          <cell r="G27">
            <v>1856</v>
          </cell>
        </row>
        <row r="45">
          <cell r="G45">
            <v>-6685</v>
          </cell>
        </row>
        <row r="48">
          <cell r="G48">
            <v>86</v>
          </cell>
        </row>
        <row r="52">
          <cell r="G52">
            <v>85</v>
          </cell>
        </row>
        <row r="63">
          <cell r="G63">
            <v>1748</v>
          </cell>
        </row>
      </sheetData>
      <sheetData sheetId="4" refreshError="1"/>
      <sheetData sheetId="5" refreshError="1">
        <row r="9">
          <cell r="B9">
            <v>2860</v>
          </cell>
          <cell r="C9">
            <v>292</v>
          </cell>
          <cell r="D9">
            <v>2446</v>
          </cell>
          <cell r="E9">
            <v>6494</v>
          </cell>
          <cell r="F9">
            <v>421</v>
          </cell>
          <cell r="H9">
            <v>8142</v>
          </cell>
        </row>
        <row r="19">
          <cell r="H19">
            <v>531</v>
          </cell>
        </row>
        <row r="25">
          <cell r="B25">
            <v>9914</v>
          </cell>
          <cell r="C25">
            <v>4288</v>
          </cell>
          <cell r="D25">
            <v>24794</v>
          </cell>
          <cell r="E25">
            <v>6851</v>
          </cell>
          <cell r="F25">
            <v>1296</v>
          </cell>
        </row>
        <row r="31">
          <cell r="B31">
            <v>197</v>
          </cell>
          <cell r="C31">
            <v>182</v>
          </cell>
          <cell r="D31">
            <v>280</v>
          </cell>
          <cell r="E31">
            <v>322</v>
          </cell>
          <cell r="F31">
            <v>53</v>
          </cell>
        </row>
        <row r="34">
          <cell r="B34">
            <v>292</v>
          </cell>
          <cell r="C34">
            <v>229</v>
          </cell>
          <cell r="D34">
            <v>622</v>
          </cell>
          <cell r="E34">
            <v>335</v>
          </cell>
          <cell r="F34">
            <v>110</v>
          </cell>
          <cell r="H34">
            <v>1541</v>
          </cell>
        </row>
        <row r="37">
          <cell r="B37">
            <v>46</v>
          </cell>
          <cell r="C37">
            <v>99</v>
          </cell>
          <cell r="D37">
            <v>657</v>
          </cell>
          <cell r="E37">
            <v>13</v>
          </cell>
          <cell r="F37">
            <v>32</v>
          </cell>
          <cell r="H37">
            <v>847</v>
          </cell>
        </row>
        <row r="47">
          <cell r="B47">
            <v>4030</v>
          </cell>
          <cell r="C47">
            <v>269</v>
          </cell>
          <cell r="D47">
            <v>3327</v>
          </cell>
          <cell r="E47">
            <v>12232</v>
          </cell>
          <cell r="F47">
            <v>386</v>
          </cell>
          <cell r="H47">
            <v>13559</v>
          </cell>
        </row>
        <row r="57">
          <cell r="H57">
            <v>1036</v>
          </cell>
        </row>
        <row r="63">
          <cell r="B63">
            <v>10023</v>
          </cell>
          <cell r="C63">
            <v>3971</v>
          </cell>
          <cell r="D63">
            <v>24189</v>
          </cell>
          <cell r="E63">
            <v>8550</v>
          </cell>
          <cell r="F63">
            <v>1317</v>
          </cell>
        </row>
        <row r="69">
          <cell r="B69">
            <v>346</v>
          </cell>
          <cell r="C69">
            <v>138</v>
          </cell>
          <cell r="D69">
            <v>968</v>
          </cell>
          <cell r="E69">
            <v>132</v>
          </cell>
          <cell r="F69">
            <v>27</v>
          </cell>
        </row>
        <row r="72">
          <cell r="B72">
            <v>458</v>
          </cell>
          <cell r="C72">
            <v>186</v>
          </cell>
          <cell r="D72">
            <v>1286</v>
          </cell>
          <cell r="E72">
            <v>145</v>
          </cell>
          <cell r="F72">
            <v>70</v>
          </cell>
          <cell r="H72">
            <v>2230</v>
          </cell>
        </row>
        <row r="75">
          <cell r="B75">
            <v>74</v>
          </cell>
          <cell r="C75">
            <v>75</v>
          </cell>
          <cell r="D75">
            <v>574</v>
          </cell>
          <cell r="E75">
            <v>24</v>
          </cell>
          <cell r="F75">
            <v>33</v>
          </cell>
          <cell r="H75">
            <v>780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I_ulwRDx0muSQtSa50oM25La2btQx1Lrl5tkuoSV10-3-Hf9YIjS50LNQVGzyJP" itemId="01FHHTKURVTUA5IRYQFBH3KEDA45Q2TYS4">
      <xxl21:absoluteUrl r:id="rId2"/>
    </xxl21:alternateUrls>
    <sheetNames>
      <sheetName val="ToC"/>
      <sheetName val="BIPMETAWS"/>
      <sheetName val="Settings"/>
      <sheetName val="segmenty prez CY"/>
      <sheetName val="segmenty prez PY"/>
      <sheetName val="działalność zaniech."/>
      <sheetName val="segmenty"/>
      <sheetName val="1_1"/>
      <sheetName val="18"/>
      <sheetName val="Nakłady inwest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działalność zaniechana"/>
      <sheetName val="BD11"/>
      <sheetName val="2_5 2021"/>
      <sheetName val="BD12"/>
      <sheetName val="BD14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>
            <v>13325</v>
          </cell>
          <cell r="C9">
            <v>750</v>
          </cell>
          <cell r="D9">
            <v>11734</v>
          </cell>
          <cell r="E9">
            <v>35803</v>
          </cell>
          <cell r="F9">
            <v>1542</v>
          </cell>
          <cell r="H9">
            <v>42657</v>
          </cell>
        </row>
        <row r="19">
          <cell r="H19">
            <v>1678</v>
          </cell>
        </row>
        <row r="25">
          <cell r="B25">
            <v>10023</v>
          </cell>
          <cell r="C25">
            <v>3971</v>
          </cell>
          <cell r="D25">
            <v>24189</v>
          </cell>
          <cell r="E25">
            <v>8550</v>
          </cell>
          <cell r="F25">
            <v>1317</v>
          </cell>
        </row>
        <row r="31">
          <cell r="B31">
            <v>347</v>
          </cell>
          <cell r="C31">
            <v>261</v>
          </cell>
          <cell r="D31">
            <v>2197</v>
          </cell>
          <cell r="E31">
            <v>522</v>
          </cell>
          <cell r="F31">
            <v>96</v>
          </cell>
        </row>
        <row r="34">
          <cell r="B34">
            <v>1377</v>
          </cell>
          <cell r="C34">
            <v>431</v>
          </cell>
          <cell r="D34">
            <v>3528</v>
          </cell>
          <cell r="E34">
            <v>568</v>
          </cell>
          <cell r="F34">
            <v>273</v>
          </cell>
          <cell r="H34">
            <v>6145</v>
          </cell>
        </row>
        <row r="37">
          <cell r="B37">
            <v>568</v>
          </cell>
          <cell r="C37">
            <v>593</v>
          </cell>
          <cell r="D37">
            <v>2762</v>
          </cell>
          <cell r="E37">
            <v>109</v>
          </cell>
          <cell r="F37">
            <v>332</v>
          </cell>
          <cell r="H37">
            <v>4364</v>
          </cell>
        </row>
        <row r="48">
          <cell r="B48">
            <v>11126</v>
          </cell>
          <cell r="C48">
            <v>909</v>
          </cell>
          <cell r="D48">
            <v>7611</v>
          </cell>
          <cell r="E48">
            <v>35491</v>
          </cell>
          <cell r="F48">
            <v>1428</v>
          </cell>
          <cell r="I48">
            <v>2680</v>
          </cell>
          <cell r="J48">
            <v>-1650</v>
          </cell>
        </row>
        <row r="64">
          <cell r="B64">
            <v>10157</v>
          </cell>
          <cell r="C64">
            <v>2910</v>
          </cell>
          <cell r="D64">
            <v>22174</v>
          </cell>
          <cell r="E64">
            <v>6701</v>
          </cell>
          <cell r="F64">
            <v>1156</v>
          </cell>
        </row>
        <row r="70">
          <cell r="B70">
            <v>-1307</v>
          </cell>
          <cell r="C70">
            <v>292</v>
          </cell>
          <cell r="D70">
            <v>1679</v>
          </cell>
          <cell r="E70">
            <v>550</v>
          </cell>
          <cell r="F70">
            <v>163</v>
          </cell>
          <cell r="I70">
            <v>490</v>
          </cell>
          <cell r="J70">
            <v>-440</v>
          </cell>
        </row>
        <row r="73">
          <cell r="B73">
            <v>-779</v>
          </cell>
          <cell r="C73">
            <v>476</v>
          </cell>
          <cell r="D73">
            <v>2939</v>
          </cell>
          <cell r="E73">
            <v>594</v>
          </cell>
          <cell r="F73">
            <v>298</v>
          </cell>
          <cell r="I73">
            <v>781</v>
          </cell>
          <cell r="J73">
            <v>20</v>
          </cell>
        </row>
        <row r="76">
          <cell r="B76">
            <v>383</v>
          </cell>
          <cell r="C76">
            <v>459</v>
          </cell>
          <cell r="D76">
            <v>2137</v>
          </cell>
          <cell r="E76">
            <v>75</v>
          </cell>
          <cell r="F76">
            <v>391</v>
          </cell>
          <cell r="I76">
            <v>517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I_ulwRDx0muSQtSa50oM25La2btQx1Lrl5tkuoSV10-3-Hf9YIjS50LNQVGzyJP" itemId="01FHHTKUV6LQDUAAUQDVBJ5B56U2D2MSAQ">
      <xxl21:absoluteUrl r:id="rId2"/>
    </xxl21:alternateUrls>
    <sheetNames>
      <sheetName val="ToC"/>
      <sheetName val="BIPMETAWS"/>
      <sheetName val="Settings"/>
      <sheetName val="segmenty prez"/>
      <sheetName val="segmenty PY"/>
      <sheetName val="segmenty"/>
      <sheetName val="segmenty 3 m-ce PREZ"/>
      <sheetName val="segmenty 3 m-ce PY"/>
      <sheetName val="segmenty 3 m-ce"/>
      <sheetName val="Działalność zaniech.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3Q2022"/>
      <sheetName val="działalność zaniechana"/>
      <sheetName val="BD11"/>
      <sheetName val="2_5 3Q2022"/>
      <sheetName val="BD12"/>
      <sheetName val="BD13"/>
    </sheetNames>
    <sheetDataSet>
      <sheetData sheetId="0"/>
      <sheetData sheetId="1"/>
      <sheetData sheetId="2"/>
      <sheetData sheetId="3">
        <row r="9">
          <cell r="H9">
            <v>32442</v>
          </cell>
        </row>
      </sheetData>
      <sheetData sheetId="4"/>
      <sheetData sheetId="5">
        <row r="9">
          <cell r="B9">
            <v>9514</v>
          </cell>
          <cell r="C9">
            <v>561</v>
          </cell>
          <cell r="D9">
            <v>8964</v>
          </cell>
          <cell r="E9">
            <v>27270</v>
          </cell>
          <cell r="F9">
            <v>1082</v>
          </cell>
          <cell r="H9">
            <v>32442</v>
          </cell>
        </row>
        <row r="19">
          <cell r="H19">
            <v>2263</v>
          </cell>
        </row>
        <row r="25">
          <cell r="B25">
            <v>10231</v>
          </cell>
          <cell r="C25">
            <v>3527</v>
          </cell>
          <cell r="D25">
            <v>23631</v>
          </cell>
          <cell r="E25">
            <v>8842</v>
          </cell>
          <cell r="F25">
            <v>1130</v>
          </cell>
        </row>
        <row r="31">
          <cell r="B31">
            <v>735</v>
          </cell>
          <cell r="C31">
            <v>179</v>
          </cell>
          <cell r="D31">
            <v>2443</v>
          </cell>
          <cell r="E31">
            <v>414</v>
          </cell>
          <cell r="F31">
            <v>37</v>
          </cell>
        </row>
        <row r="34">
          <cell r="B34">
            <v>1085</v>
          </cell>
          <cell r="C34">
            <v>321</v>
          </cell>
          <cell r="D34">
            <v>3426</v>
          </cell>
          <cell r="E34">
            <v>456</v>
          </cell>
          <cell r="F34">
            <v>168</v>
          </cell>
          <cell r="H34">
            <v>5471</v>
          </cell>
        </row>
        <row r="37">
          <cell r="B37">
            <v>382</v>
          </cell>
          <cell r="C37">
            <v>396</v>
          </cell>
          <cell r="D37">
            <v>1896</v>
          </cell>
          <cell r="E37">
            <v>70</v>
          </cell>
          <cell r="F37">
            <v>143</v>
          </cell>
          <cell r="H37">
            <v>2887</v>
          </cell>
        </row>
        <row r="48">
          <cell r="B48">
            <v>7672</v>
          </cell>
          <cell r="C48">
            <v>746</v>
          </cell>
          <cell r="D48">
            <v>5731</v>
          </cell>
          <cell r="E48">
            <v>26311</v>
          </cell>
          <cell r="F48">
            <v>1055</v>
          </cell>
          <cell r="I48">
            <v>1639</v>
          </cell>
          <cell r="J48">
            <v>-1093</v>
          </cell>
        </row>
        <row r="64">
          <cell r="B64">
            <v>10157</v>
          </cell>
          <cell r="C64">
            <v>2910</v>
          </cell>
          <cell r="D64">
            <v>22174</v>
          </cell>
          <cell r="E64">
            <v>6701</v>
          </cell>
          <cell r="F64">
            <v>1156</v>
          </cell>
        </row>
        <row r="70">
          <cell r="B70">
            <v>-1003</v>
          </cell>
          <cell r="C70">
            <v>272</v>
          </cell>
          <cell r="D70">
            <v>1415</v>
          </cell>
          <cell r="E70">
            <v>476</v>
          </cell>
          <cell r="F70">
            <v>71</v>
          </cell>
          <cell r="I70">
            <v>57</v>
          </cell>
          <cell r="J70">
            <v>13</v>
          </cell>
        </row>
        <row r="73">
          <cell r="B73">
            <v>-668</v>
          </cell>
          <cell r="C73">
            <v>382</v>
          </cell>
          <cell r="D73">
            <v>2349</v>
          </cell>
          <cell r="E73">
            <v>509</v>
          </cell>
          <cell r="F73">
            <v>169</v>
          </cell>
          <cell r="I73">
            <v>271</v>
          </cell>
          <cell r="J73">
            <v>13</v>
          </cell>
        </row>
        <row r="76">
          <cell r="B76">
            <v>268</v>
          </cell>
          <cell r="C76">
            <v>294</v>
          </cell>
          <cell r="D76">
            <v>1438</v>
          </cell>
          <cell r="E76">
            <v>56</v>
          </cell>
          <cell r="F76">
            <v>232</v>
          </cell>
          <cell r="I76">
            <v>311</v>
          </cell>
        </row>
      </sheetData>
      <sheetData sheetId="6">
        <row r="9">
          <cell r="B9">
            <v>2646</v>
          </cell>
          <cell r="C9">
            <v>121</v>
          </cell>
          <cell r="D9">
            <v>2846</v>
          </cell>
          <cell r="E9">
            <v>6349</v>
          </cell>
          <cell r="F9">
            <v>357</v>
          </cell>
        </row>
        <row r="12">
          <cell r="B12">
            <v>9</v>
          </cell>
          <cell r="C12">
            <v>-1</v>
          </cell>
          <cell r="D12">
            <v>761</v>
          </cell>
          <cell r="E12">
            <v>-104</v>
          </cell>
          <cell r="F12">
            <v>7</v>
          </cell>
        </row>
        <row r="16">
          <cell r="B16">
            <v>128</v>
          </cell>
          <cell r="C16">
            <v>45</v>
          </cell>
          <cell r="D16">
            <v>1096</v>
          </cell>
          <cell r="E16">
            <v>-91</v>
          </cell>
          <cell r="F16">
            <v>53</v>
          </cell>
        </row>
        <row r="25">
          <cell r="B25">
            <v>187</v>
          </cell>
          <cell r="C25">
            <v>86</v>
          </cell>
          <cell r="D25">
            <v>676</v>
          </cell>
          <cell r="E25">
            <v>24</v>
          </cell>
          <cell r="F25">
            <v>49</v>
          </cell>
        </row>
        <row r="39">
          <cell r="B39">
            <v>2253</v>
          </cell>
          <cell r="C39">
            <v>178</v>
          </cell>
          <cell r="D39">
            <v>1812</v>
          </cell>
          <cell r="E39">
            <v>8058</v>
          </cell>
          <cell r="F39">
            <v>351</v>
          </cell>
          <cell r="K39">
            <v>123</v>
          </cell>
        </row>
        <row r="42">
          <cell r="B42">
            <v>-751</v>
          </cell>
          <cell r="C42">
            <v>50</v>
          </cell>
          <cell r="D42">
            <v>323</v>
          </cell>
          <cell r="E42">
            <v>457</v>
          </cell>
          <cell r="F42">
            <v>12</v>
          </cell>
          <cell r="K42">
            <v>-75</v>
          </cell>
        </row>
        <row r="46">
          <cell r="B46">
            <v>-638</v>
          </cell>
          <cell r="C46">
            <v>86</v>
          </cell>
          <cell r="D46">
            <v>640</v>
          </cell>
          <cell r="E46">
            <v>468</v>
          </cell>
          <cell r="F46">
            <v>44</v>
          </cell>
          <cell r="K46">
            <v>-47</v>
          </cell>
        </row>
        <row r="55">
          <cell r="B55">
            <v>151</v>
          </cell>
          <cell r="C55">
            <v>201</v>
          </cell>
          <cell r="D55">
            <v>560</v>
          </cell>
          <cell r="E55">
            <v>20</v>
          </cell>
          <cell r="F55">
            <v>42</v>
          </cell>
          <cell r="I55">
            <v>144</v>
          </cell>
        </row>
      </sheetData>
      <sheetData sheetId="7"/>
      <sheetData sheetId="8">
        <row r="69">
          <cell r="H69">
            <v>9160</v>
          </cell>
        </row>
        <row r="79">
          <cell r="H79">
            <v>387</v>
          </cell>
        </row>
        <row r="84">
          <cell r="H84">
            <v>1197</v>
          </cell>
        </row>
        <row r="87">
          <cell r="H87">
            <v>1022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I_ulwRDx0muSQtSa50oM25La2btQx1Lrl5tkuoSV10-3-Hf9YIjS50LNQVGzyJP" itemId="01FHHTKUVUE5YGEKI2DZFYP45VUXM66TMP">
      <xxl21:absoluteUrl r:id="rId2"/>
    </xxl21:alternateUrls>
    <sheetNames>
      <sheetName val="ToC"/>
      <sheetName val="BIPMETAWS"/>
      <sheetName val="Settings"/>
      <sheetName val="segmenty prez"/>
      <sheetName val="segmenty"/>
      <sheetName val="segmenty 3 m-ce PREZ"/>
      <sheetName val="segmenty 3 m-ce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2Q2022"/>
      <sheetName val="działalność zaniechana"/>
      <sheetName val="BD11"/>
      <sheetName val="2_5 2Q2022"/>
      <sheetName val="BD12"/>
      <sheetName val="BD13"/>
    </sheetNames>
    <sheetDataSet>
      <sheetData sheetId="0"/>
      <sheetData sheetId="1"/>
      <sheetData sheetId="2"/>
      <sheetData sheetId="3"/>
      <sheetData sheetId="4">
        <row r="9">
          <cell r="B9">
            <v>6868</v>
          </cell>
          <cell r="C9">
            <v>440</v>
          </cell>
          <cell r="D9">
            <v>6118</v>
          </cell>
          <cell r="E9">
            <v>20921</v>
          </cell>
          <cell r="F9">
            <v>725</v>
          </cell>
          <cell r="H9">
            <v>23282</v>
          </cell>
        </row>
        <row r="19">
          <cell r="H19">
            <v>1876</v>
          </cell>
        </row>
        <row r="25">
          <cell r="B25">
            <v>10370</v>
          </cell>
          <cell r="C25">
            <v>3271</v>
          </cell>
          <cell r="D25">
            <v>23243</v>
          </cell>
          <cell r="E25">
            <v>8069</v>
          </cell>
          <cell r="F25">
            <v>1147</v>
          </cell>
        </row>
        <row r="31">
          <cell r="B31">
            <v>726</v>
          </cell>
          <cell r="C31">
            <v>180</v>
          </cell>
          <cell r="D31">
            <v>1682</v>
          </cell>
          <cell r="E31">
            <v>518</v>
          </cell>
          <cell r="F31">
            <v>30</v>
          </cell>
        </row>
        <row r="34">
          <cell r="B34">
            <v>957</v>
          </cell>
          <cell r="C34">
            <v>276</v>
          </cell>
          <cell r="D34">
            <v>2330</v>
          </cell>
          <cell r="E34">
            <v>547</v>
          </cell>
          <cell r="F34">
            <v>115</v>
          </cell>
          <cell r="H34">
            <v>4274</v>
          </cell>
        </row>
        <row r="37">
          <cell r="B37">
            <v>195</v>
          </cell>
          <cell r="C37">
            <v>310</v>
          </cell>
          <cell r="D37">
            <v>1220</v>
          </cell>
          <cell r="E37">
            <v>46</v>
          </cell>
          <cell r="F37">
            <v>94</v>
          </cell>
          <cell r="H37">
            <v>1865</v>
          </cell>
        </row>
        <row r="48">
          <cell r="B48">
            <v>5419</v>
          </cell>
          <cell r="C48">
            <v>568</v>
          </cell>
          <cell r="D48">
            <v>3919</v>
          </cell>
          <cell r="E48">
            <v>18257</v>
          </cell>
          <cell r="F48">
            <v>704</v>
          </cell>
          <cell r="I48">
            <v>1195</v>
          </cell>
          <cell r="J48">
            <v>-772</v>
          </cell>
          <cell r="K48">
            <v>18124</v>
          </cell>
        </row>
        <row r="57">
          <cell r="K57">
            <v>629</v>
          </cell>
        </row>
        <row r="63">
          <cell r="B63">
            <v>10157</v>
          </cell>
          <cell r="C63">
            <v>2910</v>
          </cell>
          <cell r="D63">
            <v>22174</v>
          </cell>
          <cell r="E63">
            <v>6701</v>
          </cell>
          <cell r="F63">
            <v>1156</v>
          </cell>
          <cell r="I63">
            <v>0</v>
          </cell>
          <cell r="J63">
            <v>0</v>
          </cell>
        </row>
        <row r="69">
          <cell r="B69">
            <v>-252</v>
          </cell>
          <cell r="C69">
            <v>222</v>
          </cell>
          <cell r="D69">
            <v>1092</v>
          </cell>
          <cell r="E69">
            <v>19</v>
          </cell>
          <cell r="F69">
            <v>59</v>
          </cell>
          <cell r="I69">
            <v>138</v>
          </cell>
          <cell r="J69">
            <v>7</v>
          </cell>
        </row>
        <row r="72">
          <cell r="B72">
            <v>-30</v>
          </cell>
          <cell r="C72">
            <v>296</v>
          </cell>
          <cell r="D72">
            <v>1709</v>
          </cell>
          <cell r="E72">
            <v>41</v>
          </cell>
          <cell r="F72">
            <v>125</v>
          </cell>
          <cell r="I72">
            <v>324</v>
          </cell>
          <cell r="J72">
            <v>7</v>
          </cell>
          <cell r="K72">
            <v>2351</v>
          </cell>
        </row>
        <row r="75">
          <cell r="B75">
            <v>117</v>
          </cell>
          <cell r="C75">
            <v>93</v>
          </cell>
          <cell r="D75">
            <v>878</v>
          </cell>
          <cell r="E75">
            <v>36</v>
          </cell>
          <cell r="F75">
            <v>190</v>
          </cell>
          <cell r="I75">
            <v>167</v>
          </cell>
          <cell r="J75">
            <v>0</v>
          </cell>
          <cell r="K75">
            <v>1481</v>
          </cell>
        </row>
      </sheetData>
      <sheetData sheetId="5">
        <row r="25">
          <cell r="B25">
            <v>121</v>
          </cell>
          <cell r="C25">
            <v>235</v>
          </cell>
          <cell r="D25">
            <v>646</v>
          </cell>
          <cell r="E25">
            <v>22</v>
          </cell>
          <cell r="F25">
            <v>61</v>
          </cell>
        </row>
        <row r="54">
          <cell r="B54">
            <v>53</v>
          </cell>
          <cell r="C54">
            <v>72</v>
          </cell>
          <cell r="D54">
            <v>472</v>
          </cell>
          <cell r="E54">
            <v>22</v>
          </cell>
          <cell r="F54">
            <v>154</v>
          </cell>
          <cell r="I54">
            <v>98</v>
          </cell>
        </row>
      </sheetData>
      <sheetData sheetId="6">
        <row r="69">
          <cell r="B69">
            <v>2838</v>
          </cell>
          <cell r="C69">
            <v>171</v>
          </cell>
          <cell r="D69">
            <v>2791</v>
          </cell>
          <cell r="E69">
            <v>8689</v>
          </cell>
          <cell r="F69">
            <v>339</v>
          </cell>
        </row>
        <row r="81">
          <cell r="B81">
            <v>380</v>
          </cell>
          <cell r="C81">
            <v>42</v>
          </cell>
          <cell r="D81">
            <v>714</v>
          </cell>
          <cell r="E81">
            <v>386</v>
          </cell>
          <cell r="F81">
            <v>3</v>
          </cell>
        </row>
        <row r="84">
          <cell r="B84">
            <v>499</v>
          </cell>
          <cell r="C84">
            <v>90</v>
          </cell>
          <cell r="D84">
            <v>1044</v>
          </cell>
          <cell r="E84">
            <v>402</v>
          </cell>
          <cell r="F84">
            <v>45</v>
          </cell>
        </row>
        <row r="101">
          <cell r="B101">
            <v>2363</v>
          </cell>
          <cell r="C101">
            <v>254</v>
          </cell>
          <cell r="D101">
            <v>1896</v>
          </cell>
          <cell r="E101">
            <v>7670</v>
          </cell>
          <cell r="F101">
            <v>345</v>
          </cell>
          <cell r="I101">
            <v>637</v>
          </cell>
          <cell r="J101">
            <v>-407</v>
          </cell>
        </row>
        <row r="112">
          <cell r="B112">
            <v>-1038</v>
          </cell>
          <cell r="C112">
            <v>68</v>
          </cell>
          <cell r="D112">
            <v>531</v>
          </cell>
          <cell r="E112">
            <v>132</v>
          </cell>
          <cell r="F112">
            <v>30</v>
          </cell>
          <cell r="I112">
            <v>73</v>
          </cell>
          <cell r="J112">
            <v>3</v>
          </cell>
        </row>
        <row r="115">
          <cell r="B115">
            <v>-925</v>
          </cell>
          <cell r="C115">
            <v>110</v>
          </cell>
          <cell r="D115">
            <v>845</v>
          </cell>
          <cell r="E115">
            <v>144</v>
          </cell>
          <cell r="F115">
            <v>65</v>
          </cell>
          <cell r="I115">
            <v>207</v>
          </cell>
          <cell r="J115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I_ulwRDx0muSQtSa50oM25La2btQx1Lrl5tkuoSV10-3-Hf9YIjS50LNQVGzyJP" itemId="01FHHTKUUC4Y3DKXJF6ZDJEPZFWRKR56HV">
      <xxl21:absoluteUrl r:id="rId2"/>
    </xxl21:alternateUrls>
    <sheetNames>
      <sheetName val="ToC"/>
      <sheetName val="BIPMETAWS"/>
      <sheetName val="Settings"/>
      <sheetName val="segmenty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1Q2022"/>
      <sheetName val="działalność zaniechana"/>
      <sheetName val="BD11"/>
      <sheetName val="2_5 1Q2022"/>
      <sheetName val="BD12"/>
      <sheetName val="BD14"/>
    </sheetNames>
    <sheetDataSet>
      <sheetData sheetId="0"/>
      <sheetData sheetId="1"/>
      <sheetData sheetId="2"/>
      <sheetData sheetId="3">
        <row r="9">
          <cell r="B9">
            <v>4030</v>
          </cell>
          <cell r="C9">
            <v>269</v>
          </cell>
          <cell r="D9">
            <v>3327</v>
          </cell>
          <cell r="E9">
            <v>12232</v>
          </cell>
          <cell r="F9">
            <v>386</v>
          </cell>
          <cell r="H9">
            <v>13559</v>
          </cell>
        </row>
        <row r="19">
          <cell r="H19">
            <v>1036</v>
          </cell>
        </row>
        <row r="25">
          <cell r="B25">
            <v>10625</v>
          </cell>
          <cell r="C25">
            <v>2960</v>
          </cell>
          <cell r="D25">
            <v>23123</v>
          </cell>
          <cell r="E25">
            <v>10826</v>
          </cell>
          <cell r="F25">
            <v>1144</v>
          </cell>
        </row>
        <row r="31">
          <cell r="B31">
            <v>346</v>
          </cell>
          <cell r="C31">
            <v>138</v>
          </cell>
          <cell r="D31">
            <v>968</v>
          </cell>
          <cell r="E31">
            <v>132</v>
          </cell>
          <cell r="F31">
            <v>27</v>
          </cell>
        </row>
        <row r="34">
          <cell r="B34">
            <v>458</v>
          </cell>
          <cell r="C34">
            <v>186</v>
          </cell>
          <cell r="D34">
            <v>1286</v>
          </cell>
          <cell r="E34">
            <v>145</v>
          </cell>
          <cell r="F34">
            <v>70</v>
          </cell>
          <cell r="H34">
            <v>2230</v>
          </cell>
        </row>
        <row r="37">
          <cell r="H37">
            <v>780</v>
          </cell>
        </row>
        <row r="48">
          <cell r="B48">
            <v>3056</v>
          </cell>
          <cell r="C48">
            <v>314</v>
          </cell>
          <cell r="D48">
            <v>2023</v>
          </cell>
          <cell r="E48">
            <v>10587</v>
          </cell>
          <cell r="F48">
            <v>359</v>
          </cell>
          <cell r="I48">
            <v>558</v>
          </cell>
          <cell r="J48">
            <v>-365</v>
          </cell>
          <cell r="K48">
            <v>9813</v>
          </cell>
        </row>
        <row r="57">
          <cell r="K57">
            <v>901</v>
          </cell>
        </row>
        <row r="63">
          <cell r="B63">
            <v>10157</v>
          </cell>
          <cell r="C63">
            <v>2910</v>
          </cell>
          <cell r="D63">
            <v>22174</v>
          </cell>
          <cell r="E63">
            <v>6701</v>
          </cell>
          <cell r="F63">
            <v>1156</v>
          </cell>
          <cell r="I63">
            <v>0</v>
          </cell>
          <cell r="J63">
            <v>0</v>
          </cell>
        </row>
        <row r="69">
          <cell r="B69">
            <v>786</v>
          </cell>
          <cell r="C69">
            <v>154</v>
          </cell>
          <cell r="D69">
            <v>561</v>
          </cell>
          <cell r="E69">
            <v>-113</v>
          </cell>
          <cell r="F69">
            <v>29</v>
          </cell>
          <cell r="I69">
            <v>65</v>
          </cell>
          <cell r="J69">
            <v>4</v>
          </cell>
        </row>
        <row r="71">
          <cell r="B71">
            <v>895</v>
          </cell>
          <cell r="C71">
            <v>186</v>
          </cell>
          <cell r="D71">
            <v>864</v>
          </cell>
          <cell r="E71">
            <v>-103</v>
          </cell>
          <cell r="F71">
            <v>60</v>
          </cell>
          <cell r="I71">
            <v>117</v>
          </cell>
          <cell r="J71">
            <v>4</v>
          </cell>
          <cell r="K71">
            <v>1955</v>
          </cell>
        </row>
        <row r="74">
          <cell r="K74">
            <v>610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I_ulwRDx0muSQtSa50oM25La2btQx1Lrl5tkuoSV10-3-Hf9YIjS50LNQVGzyJP" itemId="01FHHTKUXIRAEPCTG6WFBLHPQET6SALHVP">
      <xxl21:absoluteUrl r:id="rId2"/>
    </xxl21:alternateUrls>
    <sheetNames>
      <sheetName val="ToC"/>
      <sheetName val="BIPMETAWS"/>
      <sheetName val="Settings"/>
      <sheetName val="segmenty prez"/>
      <sheetName val="segmenty"/>
      <sheetName val="segmenty 3 m-ce PREZ"/>
      <sheetName val="segmenty 3 m-ce"/>
      <sheetName val="1_1"/>
      <sheetName val="18"/>
      <sheetName val="Nakłady inwesycyjne TW"/>
      <sheetName val="OSK od nal. TPE"/>
      <sheetName val="przekształcenie Veolia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Nakłady inwestycyjne TWD 2Q2022"/>
      <sheetName val="BD10"/>
      <sheetName val="BD11"/>
    </sheetNames>
    <sheetDataSet>
      <sheetData sheetId="0" refreshError="1"/>
      <sheetData sheetId="1" refreshError="1"/>
      <sheetData sheetId="2" refreshError="1"/>
      <sheetData sheetId="3">
        <row r="9">
          <cell r="H9">
            <v>-7740</v>
          </cell>
        </row>
        <row r="12">
          <cell r="H12">
            <v>-88</v>
          </cell>
        </row>
        <row r="16">
          <cell r="H16">
            <v>-91</v>
          </cell>
        </row>
        <row r="45">
          <cell r="H45">
            <v>-11873</v>
          </cell>
        </row>
        <row r="48">
          <cell r="H48">
            <v>49</v>
          </cell>
        </row>
        <row r="52">
          <cell r="H52">
            <v>49</v>
          </cell>
        </row>
      </sheetData>
      <sheetData sheetId="4">
        <row r="9">
          <cell r="H9">
            <v>-7740</v>
          </cell>
        </row>
        <row r="25">
          <cell r="H25">
            <v>1333</v>
          </cell>
        </row>
        <row r="63">
          <cell r="H63">
            <v>1748</v>
          </cell>
        </row>
      </sheetData>
      <sheetData sheetId="5">
        <row r="9">
          <cell r="H9">
            <v>-3343</v>
          </cell>
        </row>
        <row r="12">
          <cell r="H12">
            <v>-42</v>
          </cell>
        </row>
        <row r="16">
          <cell r="H16">
            <v>-44</v>
          </cell>
        </row>
        <row r="38">
          <cell r="H38">
            <v>-5145</v>
          </cell>
        </row>
        <row r="41">
          <cell r="H41">
            <v>-37</v>
          </cell>
        </row>
        <row r="45">
          <cell r="H45">
            <v>-36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dst. dane_Key figures"/>
      <sheetName val="Dane operacyjne_Operating data"/>
      <sheetName val="Osiąg. moc_Achievable capac"/>
      <sheetName val="Zainst. moc_Installed capacity"/>
      <sheetName val="Segmenty_Segment's results"/>
      <sheetName val="Segmenty_Segment's results (2)"/>
      <sheetName val="Inwestycje_CAPEX"/>
      <sheetName val="Rach. zysków i strat_P&amp;L"/>
      <sheetName val="Bilans_Balance sheet"/>
      <sheetName val="Cash flow"/>
      <sheetName val="Hist. dane kwart. - Q figures"/>
      <sheetName val="Hist. dane półr. - H figures"/>
      <sheetName val="Hist. dane roczne - FY fig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O5">
            <v>8484</v>
          </cell>
        </row>
        <row r="13">
          <cell r="O13">
            <v>1330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H31"/>
  <sheetViews>
    <sheetView zoomScale="85" zoomScaleNormal="85" workbookViewId="0">
      <selection activeCell="D4" sqref="D4"/>
    </sheetView>
  </sheetViews>
  <sheetFormatPr defaultColWidth="9.28515625" defaultRowHeight="15"/>
  <cols>
    <col min="1" max="1" width="56" style="10" customWidth="1"/>
    <col min="2" max="2" width="19.42578125" style="10" customWidth="1"/>
    <col min="3" max="3" width="2.5703125" style="157" customWidth="1"/>
    <col min="4" max="4" width="13.7109375" style="72" customWidth="1"/>
    <col min="5" max="5" width="2.5703125" style="157" customWidth="1"/>
    <col min="6" max="6" width="13.7109375" style="339" customWidth="1"/>
    <col min="7" max="7" width="3.7109375" style="339" customWidth="1"/>
    <col min="8" max="8" width="2.5703125" style="157" customWidth="1"/>
    <col min="9" max="9" width="13.7109375" style="72" customWidth="1"/>
    <col min="10" max="10" width="2.5703125" style="157" customWidth="1"/>
    <col min="11" max="11" width="13.7109375" style="339" customWidth="1"/>
    <col min="12" max="12" width="3.7109375" style="339" customWidth="1"/>
    <col min="13" max="13" width="13.7109375" style="72" customWidth="1"/>
    <col min="14" max="14" width="2.5703125" style="157" customWidth="1"/>
    <col min="15" max="15" width="13.7109375" style="339" customWidth="1"/>
    <col min="16" max="16" width="3.7109375" style="339" customWidth="1"/>
    <col min="17" max="17" width="13.7109375" style="72" customWidth="1"/>
    <col min="18" max="18" width="2.5703125" style="157" customWidth="1"/>
    <col min="19" max="19" width="13.7109375" style="339" customWidth="1"/>
    <col min="20" max="20" width="3.7109375" style="339" customWidth="1"/>
    <col min="21" max="21" width="13.7109375" style="72" customWidth="1"/>
    <col min="22" max="22" width="2.5703125" style="157" customWidth="1"/>
    <col min="23" max="23" width="13.7109375" style="72" customWidth="1"/>
    <col min="24" max="24" width="3.7109375" style="339" customWidth="1"/>
    <col min="25" max="25" width="13.7109375" style="72" customWidth="1"/>
    <col min="26" max="26" width="2.5703125" style="157" customWidth="1"/>
    <col min="27" max="27" width="13.7109375" style="339" customWidth="1"/>
    <col min="28" max="28" width="3.7109375" style="339" customWidth="1"/>
    <col min="29" max="29" width="13.7109375" style="72" customWidth="1"/>
    <col min="30" max="30" width="2.5703125" style="157" customWidth="1"/>
    <col min="31" max="31" width="13.7109375" style="72" customWidth="1"/>
    <col min="32" max="32" width="2.5703125" style="157" customWidth="1"/>
    <col min="33" max="33" width="13.7109375" style="72" customWidth="1"/>
    <col min="34" max="34" width="2.5703125" style="157" customWidth="1"/>
    <col min="35" max="35" width="13.7109375" style="339" customWidth="1"/>
    <col min="36" max="36" width="2.5703125" style="157" customWidth="1"/>
    <col min="37" max="37" width="13.7109375" style="72" customWidth="1"/>
    <col min="38" max="38" width="2.5703125" style="157" customWidth="1"/>
    <col min="39" max="39" width="13.7109375" style="339" customWidth="1"/>
    <col min="40" max="40" width="3.7109375" style="339" customWidth="1"/>
    <col min="41" max="41" width="13.7109375" style="72" customWidth="1"/>
    <col min="42" max="42" width="2.5703125" style="157" customWidth="1"/>
    <col min="43" max="43" width="13.7109375" style="339" customWidth="1"/>
    <col min="44" max="44" width="3.7109375" style="339" customWidth="1"/>
    <col min="45" max="45" width="13.7109375" style="72" customWidth="1"/>
    <col min="46" max="46" width="2.5703125" style="157" customWidth="1"/>
    <col min="47" max="47" width="13.7109375" style="339" customWidth="1"/>
    <col min="48" max="48" width="3.7109375" style="339" customWidth="1"/>
    <col min="49" max="49" width="13.7109375" style="72" customWidth="1"/>
    <col min="50" max="50" width="2.5703125" style="157" customWidth="1"/>
    <col min="51" max="51" width="13.7109375" style="339" customWidth="1"/>
    <col min="52" max="52" width="3.7109375" style="339" customWidth="1"/>
    <col min="53" max="53" width="13.7109375" style="72" customWidth="1"/>
    <col min="54" max="54" width="2.5703125" style="157" customWidth="1"/>
    <col min="55" max="55" width="13.7109375" style="339" customWidth="1"/>
    <col min="56" max="56" width="3.7109375" style="339" customWidth="1"/>
    <col min="57" max="57" width="13.7109375" style="72" customWidth="1"/>
    <col min="58" max="58" width="2.5703125" style="157" customWidth="1"/>
    <col min="59" max="59" width="13.7109375" style="339" customWidth="1"/>
    <col min="60" max="60" width="3.7109375" style="339" customWidth="1"/>
    <col min="61" max="61" width="13.7109375" style="72" customWidth="1"/>
    <col min="62" max="62" width="2.5703125" style="157" customWidth="1"/>
    <col min="63" max="63" width="13.7109375" style="339" customWidth="1"/>
    <col min="64" max="64" width="3.7109375" style="339" customWidth="1"/>
    <col min="65" max="65" width="13.7109375" style="72" customWidth="1"/>
    <col min="66" max="66" width="2.5703125" style="157" customWidth="1"/>
    <col min="67" max="67" width="13.7109375" style="339" customWidth="1"/>
    <col min="68" max="68" width="3.7109375" style="339" customWidth="1"/>
    <col min="69" max="69" width="13.7109375" style="72" customWidth="1"/>
    <col min="70" max="70" width="2.5703125" style="157" customWidth="1"/>
    <col min="71" max="71" width="13.7109375" style="339" customWidth="1"/>
    <col min="72" max="72" width="3.7109375" style="339" customWidth="1"/>
    <col min="73" max="73" width="13.7109375" style="72" customWidth="1"/>
    <col min="74" max="74" width="2.5703125" style="157" customWidth="1"/>
    <col min="75" max="75" width="13.7109375" style="339" customWidth="1"/>
    <col min="76" max="76" width="3.7109375" style="339" customWidth="1"/>
    <col min="77" max="77" width="13.7109375" style="72" customWidth="1"/>
    <col min="78" max="78" width="2.5703125" style="157" customWidth="1"/>
    <col min="79" max="79" width="13.7109375" style="339" customWidth="1"/>
    <col min="80" max="80" width="3.7109375" style="339" customWidth="1"/>
    <col min="81" max="81" width="13.7109375" style="72" customWidth="1"/>
    <col min="82" max="82" width="2.5703125" style="157" customWidth="1"/>
    <col min="83" max="83" width="13.7109375" style="339" customWidth="1"/>
    <col min="84" max="84" width="3.7109375" style="339" customWidth="1"/>
    <col min="85" max="85" width="13.7109375" style="72" customWidth="1"/>
    <col min="86" max="86" width="2.5703125" style="157" customWidth="1"/>
    <col min="87" max="87" width="13.7109375" style="339" customWidth="1"/>
    <col min="88" max="88" width="3.7109375" style="339" customWidth="1"/>
    <col min="89" max="89" width="13.7109375" style="72" customWidth="1"/>
    <col min="90" max="90" width="2.5703125" style="157" customWidth="1"/>
    <col min="91" max="91" width="13.7109375" style="339" customWidth="1"/>
    <col min="92" max="92" width="3.7109375" style="339" customWidth="1"/>
    <col min="93" max="93" width="13.7109375" style="72" customWidth="1"/>
    <col min="94" max="94" width="2.5703125" style="157" customWidth="1"/>
    <col min="95" max="95" width="13.7109375" style="339" customWidth="1"/>
    <col min="96" max="96" width="3.7109375" style="339" customWidth="1"/>
    <col min="97" max="97" width="13.7109375" style="72" customWidth="1"/>
    <col min="98" max="98" width="2.5703125" style="157" customWidth="1"/>
    <col min="99" max="99" width="13.7109375" style="339" customWidth="1"/>
    <col min="100" max="100" width="3.7109375" style="339" customWidth="1"/>
    <col min="101" max="101" width="13.7109375" style="72" customWidth="1"/>
    <col min="102" max="102" width="2.5703125" style="157" customWidth="1"/>
    <col min="103" max="103" width="13.7109375" style="339" customWidth="1"/>
    <col min="104" max="104" width="3.7109375" style="339" customWidth="1"/>
    <col min="105" max="105" width="13.7109375" style="72" customWidth="1"/>
    <col min="106" max="106" width="2.5703125" style="157" customWidth="1"/>
    <col min="107" max="107" width="13.7109375" style="339" customWidth="1"/>
    <col min="108" max="108" width="3.7109375" style="339" customWidth="1"/>
    <col min="109" max="109" width="13.7109375" style="72" customWidth="1"/>
    <col min="110" max="110" width="2.5703125" style="157" customWidth="1"/>
    <col min="111" max="111" width="13.7109375" style="339" customWidth="1"/>
    <col min="112" max="112" width="3.7109375" style="339" customWidth="1"/>
    <col min="113" max="113" width="13.7109375" style="72" customWidth="1"/>
    <col min="114" max="114" width="2.5703125" style="157" customWidth="1"/>
    <col min="115" max="115" width="13.7109375" style="339" customWidth="1"/>
    <col min="116" max="116" width="3.7109375" style="339" customWidth="1"/>
    <col min="117" max="117" width="13.7109375" style="72" customWidth="1"/>
    <col min="118" max="118" width="2.5703125" style="157" customWidth="1"/>
    <col min="119" max="119" width="13.7109375" style="339" customWidth="1"/>
    <col min="120" max="120" width="3.7109375" style="339" customWidth="1"/>
    <col min="121" max="121" width="13.7109375" style="72" customWidth="1"/>
    <col min="122" max="122" width="2.5703125" style="157" customWidth="1"/>
    <col min="123" max="123" width="13.7109375" style="339" customWidth="1"/>
    <col min="124" max="124" width="3.7109375" style="339" customWidth="1"/>
    <col min="125" max="125" width="13.7109375" style="72" customWidth="1"/>
    <col min="126" max="126" width="2.5703125" style="157" customWidth="1"/>
    <col min="127" max="127" width="13.7109375" style="339" customWidth="1"/>
    <col min="128" max="128" width="3.7109375" style="10" customWidth="1"/>
    <col min="129" max="129" width="13.7109375" style="72" customWidth="1"/>
    <col min="130" max="130" width="2.5703125" style="157" customWidth="1"/>
    <col min="131" max="131" width="13.7109375" style="339" customWidth="1"/>
    <col min="132" max="132" width="3.7109375" style="339" customWidth="1"/>
    <col min="133" max="133" width="13.7109375" style="72" customWidth="1"/>
    <col min="134" max="134" width="2.5703125" style="157" customWidth="1"/>
    <col min="135" max="135" width="13.7109375" style="339" customWidth="1"/>
    <col min="136" max="136" width="3.7109375" style="10" customWidth="1"/>
    <col min="137" max="137" width="13.7109375" style="72" customWidth="1"/>
    <col min="138" max="138" width="2.5703125" style="157" customWidth="1"/>
    <col min="139" max="139" width="13.7109375" style="339" customWidth="1"/>
    <col min="140" max="140" width="3.7109375" style="339" customWidth="1"/>
    <col min="141" max="141" width="13.7109375" style="72" customWidth="1"/>
    <col min="142" max="142" width="2.5703125" style="157" customWidth="1"/>
    <col min="143" max="143" width="13.7109375" style="339" customWidth="1"/>
    <col min="144" max="144" width="3.7109375" style="339" customWidth="1"/>
    <col min="145" max="145" width="13.7109375" style="72" customWidth="1"/>
    <col min="146" max="146" width="2.5703125" style="157" customWidth="1"/>
    <col min="147" max="147" width="13.7109375" style="339" customWidth="1"/>
    <col min="148" max="148" width="3.7109375" style="339" customWidth="1"/>
    <col min="149" max="149" width="13.7109375" style="339" customWidth="1"/>
    <col min="150" max="150" width="2" style="339" customWidth="1"/>
    <col min="151" max="151" width="13.7109375" style="339" customWidth="1"/>
    <col min="152" max="152" width="3.28515625" style="339" customWidth="1"/>
    <col min="153" max="153" width="13.7109375" style="339" customWidth="1"/>
    <col min="154" max="154" width="2.28515625" style="339" customWidth="1"/>
    <col min="155" max="155" width="13.7109375" style="339" customWidth="1"/>
    <col min="156" max="156" width="8.42578125" style="339" customWidth="1"/>
    <col min="157" max="157" width="13.7109375" style="339" customWidth="1"/>
    <col min="158" max="158" width="2" style="339" customWidth="1"/>
    <col min="159" max="159" width="13.7109375" style="339" customWidth="1"/>
    <col min="160" max="160" width="3.28515625" style="339" customWidth="1"/>
    <col min="161" max="161" width="13.7109375" style="339" customWidth="1"/>
    <col min="162" max="162" width="2.28515625" style="339" customWidth="1"/>
    <col min="163" max="163" width="13.7109375" style="339" customWidth="1"/>
    <col min="164" max="164" width="8.42578125" style="339" customWidth="1"/>
    <col min="165" max="165" width="2.28515625" style="339" customWidth="1"/>
    <col min="166" max="166" width="13.7109375" style="339" customWidth="1"/>
    <col min="167" max="167" width="2" style="339" customWidth="1"/>
    <col min="168" max="168" width="13.7109375" style="339" customWidth="1"/>
    <col min="169" max="169" width="3.28515625" style="339" customWidth="1"/>
    <col min="170" max="170" width="13.7109375" style="339" customWidth="1"/>
    <col min="171" max="171" width="2.28515625" style="339" customWidth="1"/>
    <col min="172" max="172" width="13.7109375" style="339" customWidth="1"/>
    <col min="173" max="173" width="4.28515625" style="339" customWidth="1"/>
    <col min="174" max="174" width="13.7109375" style="339" customWidth="1"/>
    <col min="175" max="175" width="2.5703125" style="339" customWidth="1"/>
    <col min="176" max="176" width="13.7109375" style="339" customWidth="1"/>
    <col min="177" max="177" width="8.42578125" style="339" customWidth="1"/>
    <col min="178" max="178" width="13.7109375" style="339" customWidth="1"/>
    <col min="179" max="179" width="2.7109375" style="339" customWidth="1"/>
    <col min="180" max="180" width="13.7109375" style="339" customWidth="1"/>
    <col min="181" max="181" width="3.42578125" style="339" customWidth="1"/>
    <col min="182" max="182" width="13.7109375" style="339" customWidth="1"/>
    <col min="183" max="183" width="2.7109375" style="339" customWidth="1"/>
    <col min="184" max="184" width="13.7109375" style="339" customWidth="1"/>
    <col min="185" max="185" width="2.28515625" style="339" customWidth="1"/>
    <col min="186" max="186" width="13.7109375" style="339" customWidth="1"/>
    <col min="187" max="187" width="2.7109375" style="339" customWidth="1"/>
    <col min="188" max="188" width="13.7109375" style="339" customWidth="1"/>
    <col min="189" max="189" width="3.42578125" style="339" customWidth="1"/>
    <col min="190" max="190" width="13.7109375" style="339" customWidth="1"/>
    <col min="191" max="191" width="2.7109375" style="339" customWidth="1"/>
    <col min="192" max="192" width="13.7109375" style="339" customWidth="1"/>
    <col min="193" max="193" width="8.7109375" style="10" customWidth="1"/>
    <col min="194" max="194" width="13.7109375" style="157" customWidth="1"/>
    <col min="195" max="195" width="2.7109375" style="157" customWidth="1"/>
    <col min="196" max="196" width="13.7109375" style="157" customWidth="1"/>
    <col min="197" max="197" width="2.28515625" style="157" customWidth="1"/>
    <col min="198" max="198" width="13.7109375" style="157" customWidth="1"/>
    <col min="199" max="199" width="2.7109375" style="157" customWidth="1"/>
    <col min="200" max="200" width="13.7109375" style="157" customWidth="1"/>
    <col min="201" max="201" width="6.5703125" style="157" customWidth="1"/>
    <col min="202" max="202" width="13.7109375" style="157" customWidth="1"/>
    <col min="203" max="203" width="2.5703125" style="157" customWidth="1"/>
    <col min="204" max="204" width="13.7109375" style="157" customWidth="1"/>
    <col min="205" max="205" width="10.7109375" style="10" customWidth="1"/>
    <col min="206" max="206" width="12.7109375" style="10" customWidth="1"/>
    <col min="207" max="207" width="2.7109375" style="10" customWidth="1"/>
    <col min="208" max="208" width="12.7109375" style="10" customWidth="1"/>
    <col min="209" max="209" width="2.7109375" style="10" customWidth="1"/>
    <col min="210" max="210" width="13.7109375" style="10" customWidth="1"/>
    <col min="211" max="211" width="2.7109375" style="10" customWidth="1"/>
    <col min="212" max="212" width="13.7109375" style="10" customWidth="1"/>
    <col min="213" max="213" width="9.5703125" style="10" customWidth="1"/>
    <col min="214" max="214" width="13.7109375" style="10" customWidth="1"/>
    <col min="215" max="215" width="2.7109375" style="10" customWidth="1"/>
    <col min="216" max="216" width="13.7109375" style="10" customWidth="1"/>
    <col min="217" max="217" width="2.7109375" style="10" customWidth="1"/>
    <col min="218" max="218" width="12.7109375" style="10" customWidth="1"/>
    <col min="219" max="219" width="2.7109375" style="10" customWidth="1"/>
    <col min="220" max="220" width="12.7109375" style="10" customWidth="1"/>
    <col min="221" max="221" width="5.7109375" style="10" customWidth="1"/>
    <col min="222" max="222" width="13.7109375" style="10" customWidth="1"/>
    <col min="223" max="223" width="2.7109375" style="10" customWidth="1"/>
    <col min="224" max="224" width="13.7109375" style="10" customWidth="1"/>
    <col min="225" max="225" width="2.7109375" style="10" customWidth="1"/>
    <col min="226" max="226" width="13.7109375" style="10" customWidth="1"/>
    <col min="227" max="227" width="2.7109375" style="10" customWidth="1"/>
    <col min="228" max="228" width="13.7109375" style="10" customWidth="1"/>
    <col min="229" max="229" width="6.7109375" style="10" customWidth="1"/>
    <col min="230" max="230" width="13.7109375" style="10" customWidth="1"/>
    <col min="231" max="231" width="2.7109375" style="10" customWidth="1"/>
    <col min="232" max="232" width="13.7109375" style="10" customWidth="1"/>
    <col min="233" max="233" width="2.7109375" style="10" customWidth="1"/>
    <col min="234" max="234" width="13.7109375" style="10" customWidth="1"/>
    <col min="235" max="235" width="2.7109375" style="10" customWidth="1"/>
    <col min="236" max="236" width="13.7109375" style="10" customWidth="1"/>
    <col min="237" max="238" width="2.7109375" style="10" customWidth="1"/>
    <col min="239" max="239" width="10.7109375" style="10" customWidth="1"/>
    <col min="240" max="240" width="2.7109375" style="10" customWidth="1"/>
    <col min="241" max="242" width="10.7109375" style="10" customWidth="1"/>
    <col min="243" max="243" width="13.28515625" style="10" customWidth="1"/>
    <col min="244" max="244" width="2.7109375" style="10" customWidth="1"/>
    <col min="245" max="245" width="12" style="10" customWidth="1"/>
    <col min="246" max="247" width="2.7109375" style="10" customWidth="1"/>
    <col min="248" max="248" width="10.7109375" style="10" customWidth="1"/>
    <col min="249" max="249" width="2.7109375" style="10" customWidth="1"/>
    <col min="250" max="250" width="10.7109375" style="10" customWidth="1"/>
    <col min="251" max="252" width="3" style="10" customWidth="1"/>
    <col min="253" max="253" width="12.7109375" style="10" customWidth="1"/>
    <col min="254" max="254" width="2.7109375" style="10" customWidth="1"/>
    <col min="255" max="255" width="12.5703125" style="10" customWidth="1"/>
    <col min="256" max="257" width="2.7109375" style="10" customWidth="1"/>
    <col min="258" max="258" width="9.28515625" style="10"/>
    <col min="259" max="259" width="2.7109375" style="10" customWidth="1"/>
    <col min="260" max="260" width="9.28515625" style="10"/>
    <col min="261" max="261" width="4.28515625" style="10" customWidth="1"/>
    <col min="262" max="262" width="9.28515625" style="10"/>
    <col min="263" max="263" width="2.7109375" style="10" customWidth="1"/>
    <col min="264" max="264" width="9.28515625" style="10"/>
    <col min="265" max="265" width="4.7109375" style="10" customWidth="1"/>
    <col min="266" max="266" width="10.28515625" style="10" bestFit="1" customWidth="1"/>
    <col min="267" max="267" width="2.7109375" style="10" customWidth="1"/>
    <col min="268" max="268" width="10.28515625" style="10" bestFit="1" customWidth="1"/>
    <col min="269" max="269" width="2.7109375" style="10" customWidth="1"/>
    <col min="270" max="270" width="10.28515625" style="10" bestFit="1" customWidth="1"/>
    <col min="271" max="271" width="2.7109375" style="10" customWidth="1"/>
    <col min="272" max="272" width="9.28515625" style="10"/>
    <col min="273" max="273" width="2.7109375" style="10" customWidth="1"/>
    <col min="274" max="274" width="10.28515625" style="10" bestFit="1" customWidth="1"/>
    <col min="275" max="275" width="2.7109375" style="10" customWidth="1"/>
    <col min="276" max="276" width="10.28515625" style="10" bestFit="1" customWidth="1"/>
    <col min="277" max="277" width="2.7109375" style="10" customWidth="1"/>
    <col min="278" max="278" width="9.28515625" style="10"/>
    <col min="279" max="279" width="2.7109375" style="10" customWidth="1"/>
    <col min="280" max="280" width="9.28515625" style="10"/>
    <col min="281" max="281" width="2.7109375" style="10" customWidth="1"/>
    <col min="282" max="282" width="9.28515625" style="10"/>
    <col min="283" max="283" width="2.7109375" style="10" customWidth="1"/>
    <col min="284" max="284" width="9.28515625" style="10"/>
    <col min="285" max="285" width="2.7109375" style="10" customWidth="1"/>
    <col min="286" max="286" width="9.28515625" style="10"/>
    <col min="287" max="287" width="2.7109375" style="10" customWidth="1"/>
    <col min="288" max="288" width="9.28515625" style="10"/>
    <col min="289" max="289" width="2.7109375" style="10" customWidth="1"/>
    <col min="290" max="290" width="9.28515625" style="10"/>
    <col min="291" max="291" width="2.7109375" style="10" customWidth="1"/>
    <col min="292" max="292" width="9.28515625" style="10"/>
    <col min="293" max="293" width="2.7109375" style="10" customWidth="1"/>
    <col min="294" max="294" width="10.28515625" style="10" bestFit="1" customWidth="1"/>
    <col min="295" max="295" width="2.7109375" style="10" customWidth="1"/>
    <col min="296" max="296" width="10.28515625" style="10" bestFit="1" customWidth="1"/>
    <col min="297" max="297" width="2.7109375" style="10" customWidth="1"/>
    <col min="298" max="298" width="9.28515625" style="10"/>
    <col min="299" max="299" width="2.7109375" style="10" customWidth="1"/>
    <col min="300" max="300" width="9.28515625" style="10"/>
    <col min="301" max="301" width="2.7109375" style="10" customWidth="1"/>
    <col min="302" max="302" width="10.28515625" style="10" bestFit="1" customWidth="1"/>
    <col min="303" max="303" width="2.7109375" style="10" customWidth="1"/>
    <col min="304" max="304" width="10.28515625" style="10" bestFit="1" customWidth="1"/>
    <col min="305" max="305" width="2.7109375" style="10" customWidth="1"/>
    <col min="306" max="306" width="9.28515625" style="10"/>
    <col min="307" max="307" width="2.7109375" style="10" customWidth="1"/>
    <col min="308" max="308" width="9.28515625" style="10"/>
    <col min="309" max="309" width="2.7109375" style="10" customWidth="1"/>
    <col min="310" max="310" width="9.28515625" style="10"/>
    <col min="311" max="311" width="2.7109375" style="10" customWidth="1"/>
    <col min="312" max="312" width="9.28515625" style="10"/>
    <col min="313" max="313" width="2.7109375" style="10" customWidth="1"/>
    <col min="314" max="314" width="9.28515625" style="10"/>
    <col min="315" max="315" width="2.7109375" style="10" customWidth="1"/>
    <col min="316" max="316" width="9.28515625" style="10"/>
    <col min="317" max="317" width="2.7109375" style="10" customWidth="1"/>
    <col min="318" max="318" width="9.28515625" style="10"/>
    <col min="319" max="319" width="2.7109375" style="10" customWidth="1"/>
    <col min="320" max="16384" width="9.28515625" style="10"/>
  </cols>
  <sheetData>
    <row r="1" spans="1:398" ht="20.25">
      <c r="A1" s="1" t="s">
        <v>374</v>
      </c>
      <c r="B1" s="2"/>
      <c r="C1" s="179"/>
      <c r="D1" s="88" t="s">
        <v>978</v>
      </c>
      <c r="E1" s="179"/>
      <c r="F1" s="352" t="s">
        <v>978</v>
      </c>
      <c r="G1" s="352"/>
      <c r="H1" s="179"/>
      <c r="I1" s="88" t="s">
        <v>978</v>
      </c>
      <c r="J1" s="179"/>
      <c r="K1" s="352" t="s">
        <v>978</v>
      </c>
      <c r="L1" s="352"/>
      <c r="M1" s="88" t="s">
        <v>978</v>
      </c>
      <c r="N1" s="179"/>
      <c r="O1" s="352" t="s">
        <v>978</v>
      </c>
      <c r="P1" s="352"/>
      <c r="Q1" s="88"/>
      <c r="R1" s="179"/>
      <c r="S1" s="352"/>
      <c r="T1" s="352"/>
      <c r="U1" s="88"/>
      <c r="V1" s="179"/>
      <c r="W1" s="88"/>
      <c r="X1" s="352"/>
      <c r="Y1" s="88"/>
      <c r="Z1" s="179"/>
      <c r="AA1" s="352"/>
      <c r="AB1" s="352"/>
      <c r="AC1" s="88"/>
      <c r="AD1" s="179"/>
      <c r="AE1" s="88"/>
      <c r="AF1" s="179"/>
      <c r="AG1" s="88"/>
      <c r="AH1" s="179"/>
      <c r="AI1" s="352"/>
      <c r="AJ1" s="179"/>
      <c r="AK1" s="88"/>
      <c r="AL1" s="179"/>
      <c r="AM1" s="352"/>
      <c r="AN1" s="352"/>
      <c r="AO1" s="88"/>
      <c r="AP1" s="179"/>
      <c r="AQ1" s="352"/>
      <c r="AR1" s="352"/>
      <c r="AS1" s="88"/>
      <c r="AT1" s="179"/>
      <c r="AU1" s="352"/>
      <c r="AV1" s="352"/>
      <c r="AW1" s="88"/>
      <c r="AX1" s="179"/>
      <c r="AY1" s="352"/>
      <c r="AZ1" s="352"/>
      <c r="BA1" s="88"/>
      <c r="BB1" s="179"/>
      <c r="BC1" s="352"/>
      <c r="BD1" s="352"/>
      <c r="BE1" s="88"/>
      <c r="BF1" s="179"/>
      <c r="BG1" s="352"/>
      <c r="BH1" s="352"/>
      <c r="BI1" s="88"/>
      <c r="BJ1" s="179"/>
      <c r="BK1" s="352"/>
      <c r="BL1" s="352"/>
      <c r="BM1" s="88"/>
      <c r="BN1" s="179"/>
      <c r="BO1" s="352"/>
      <c r="BP1" s="352"/>
      <c r="BQ1" s="88"/>
      <c r="BR1" s="179"/>
      <c r="BS1" s="352"/>
      <c r="BT1" s="352"/>
      <c r="BU1" s="88"/>
      <c r="BV1" s="179"/>
      <c r="BW1" s="352"/>
      <c r="BX1" s="352"/>
      <c r="BY1" s="88"/>
      <c r="BZ1" s="179"/>
      <c r="CA1" s="352"/>
      <c r="CB1" s="352"/>
      <c r="CC1" s="88"/>
      <c r="CD1" s="179"/>
      <c r="CE1" s="352"/>
      <c r="CF1" s="352"/>
      <c r="CG1" s="88"/>
      <c r="CH1" s="179"/>
      <c r="CI1" s="352"/>
      <c r="CJ1" s="352"/>
      <c r="CK1" s="88"/>
      <c r="CL1" s="179"/>
      <c r="CM1" s="352"/>
      <c r="CN1" s="352"/>
      <c r="CO1" s="88"/>
      <c r="CP1" s="179"/>
      <c r="CQ1" s="352"/>
      <c r="CR1" s="352"/>
      <c r="CS1" s="88"/>
      <c r="CT1" s="179"/>
      <c r="CU1" s="352"/>
      <c r="CV1" s="352"/>
      <c r="CW1" s="88"/>
      <c r="CX1" s="179"/>
      <c r="CY1" s="352"/>
      <c r="CZ1" s="352"/>
      <c r="DA1" s="88"/>
      <c r="DB1" s="179"/>
      <c r="DC1" s="352"/>
      <c r="DD1" s="352"/>
      <c r="DE1" s="88"/>
      <c r="DF1" s="179"/>
      <c r="DG1" s="352"/>
      <c r="DH1" s="352"/>
      <c r="DI1" s="88"/>
      <c r="DJ1" s="179"/>
      <c r="DK1" s="352"/>
      <c r="DL1" s="352"/>
      <c r="DM1" s="88"/>
      <c r="DN1" s="179"/>
      <c r="DO1" s="352"/>
      <c r="DP1" s="352"/>
      <c r="DQ1" s="88"/>
      <c r="DR1" s="179"/>
      <c r="DS1" s="352"/>
      <c r="DT1" s="352"/>
      <c r="DU1" s="88"/>
      <c r="DV1" s="179"/>
      <c r="DW1" s="352"/>
      <c r="DX1" s="3"/>
      <c r="DY1" s="88"/>
      <c r="DZ1" s="179"/>
      <c r="EA1" s="352"/>
      <c r="EB1" s="352"/>
      <c r="EC1" s="88"/>
      <c r="ED1" s="179"/>
      <c r="EE1" s="352"/>
      <c r="EF1" s="3"/>
      <c r="EG1" s="88"/>
      <c r="EH1" s="179"/>
      <c r="EI1" s="352"/>
      <c r="EJ1" s="352"/>
      <c r="EK1" s="88"/>
      <c r="EL1" s="179"/>
      <c r="EM1" s="352"/>
      <c r="EN1" s="352"/>
      <c r="EO1" s="88"/>
      <c r="EP1" s="179"/>
      <c r="EQ1" s="352"/>
      <c r="ER1" s="352"/>
      <c r="ES1" s="352"/>
      <c r="ET1" s="372"/>
      <c r="EU1" s="352"/>
      <c r="EV1" s="352"/>
      <c r="EW1" s="352"/>
      <c r="EX1" s="372"/>
      <c r="EY1" s="352"/>
      <c r="EZ1" s="352"/>
      <c r="FA1" s="352"/>
      <c r="FB1" s="372"/>
      <c r="FC1" s="352"/>
      <c r="FD1" s="352"/>
      <c r="FE1" s="352"/>
      <c r="FF1" s="372"/>
      <c r="FG1" s="352"/>
      <c r="FH1" s="352"/>
      <c r="FI1" s="352"/>
      <c r="FJ1" s="352"/>
      <c r="FK1" s="372"/>
      <c r="FL1" s="352"/>
      <c r="FM1" s="352"/>
      <c r="FN1" s="352"/>
      <c r="FO1" s="372"/>
      <c r="FP1" s="352"/>
      <c r="FQ1" s="352"/>
      <c r="FR1" s="352"/>
      <c r="FS1" s="372"/>
      <c r="FT1" s="352"/>
      <c r="FU1" s="352"/>
      <c r="FV1" s="352"/>
      <c r="FW1" s="372"/>
      <c r="FX1" s="352"/>
      <c r="FY1" s="352"/>
      <c r="FZ1" s="352"/>
      <c r="GA1" s="372"/>
      <c r="GB1" s="352"/>
      <c r="GC1" s="352"/>
      <c r="GD1" s="352"/>
      <c r="GE1" s="372"/>
      <c r="GF1" s="352"/>
      <c r="GG1" s="352"/>
      <c r="GH1" s="352"/>
      <c r="GI1" s="372"/>
      <c r="GJ1" s="352"/>
      <c r="GK1" s="3"/>
      <c r="GL1" s="154"/>
      <c r="GM1" s="179"/>
      <c r="GN1" s="154"/>
      <c r="GO1" s="154"/>
      <c r="GP1" s="154"/>
      <c r="GQ1" s="179"/>
      <c r="GR1" s="154"/>
      <c r="GS1" s="154"/>
      <c r="GT1" s="154"/>
      <c r="GU1" s="179"/>
      <c r="GV1" s="154"/>
      <c r="GW1" s="3"/>
      <c r="GX1" s="3"/>
      <c r="GY1" s="4"/>
      <c r="GZ1" s="3"/>
      <c r="HA1" s="3"/>
      <c r="HB1" s="3"/>
      <c r="HC1" s="4"/>
      <c r="HD1" s="3"/>
      <c r="HE1" s="3"/>
      <c r="HF1" s="3"/>
      <c r="HG1" s="4"/>
      <c r="HH1" s="3"/>
      <c r="HI1" s="3"/>
      <c r="HJ1" s="3"/>
      <c r="HK1" s="4"/>
      <c r="HL1" s="3"/>
      <c r="HM1" s="3"/>
      <c r="HN1" s="3"/>
      <c r="HO1" s="4"/>
      <c r="HP1" s="3"/>
      <c r="HQ1" s="3"/>
      <c r="HR1" s="3"/>
      <c r="HS1" s="4"/>
      <c r="HT1" s="3"/>
      <c r="HU1" s="3"/>
      <c r="HV1" s="3"/>
      <c r="HW1" s="4"/>
      <c r="HX1" s="3"/>
      <c r="HY1" s="3"/>
      <c r="HZ1" s="3"/>
      <c r="IA1" s="4"/>
      <c r="IB1" s="3"/>
      <c r="IC1" s="3"/>
      <c r="ID1" s="3"/>
      <c r="IE1" s="3"/>
      <c r="IF1" s="4"/>
      <c r="IG1" s="3"/>
      <c r="IH1" s="3"/>
      <c r="II1" s="3"/>
      <c r="IJ1" s="4"/>
      <c r="IK1" s="3"/>
      <c r="IL1" s="3"/>
      <c r="IM1" s="3"/>
      <c r="IN1" s="3"/>
      <c r="IO1" s="4"/>
      <c r="IP1" s="3"/>
      <c r="IQ1" s="3"/>
      <c r="IR1" s="3"/>
      <c r="IS1" s="3"/>
      <c r="IT1" s="4"/>
      <c r="IU1" s="3"/>
      <c r="IV1" s="3"/>
      <c r="IW1" s="3"/>
      <c r="IX1" s="3"/>
      <c r="IY1" s="4"/>
      <c r="IZ1" s="3"/>
      <c r="JA1" s="3"/>
      <c r="JB1" s="3"/>
      <c r="JC1" s="4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4"/>
      <c r="JP1" s="3"/>
      <c r="JQ1" s="4"/>
      <c r="JR1" s="3"/>
      <c r="JS1" s="4"/>
      <c r="JT1" s="3"/>
      <c r="JU1" s="4"/>
      <c r="JV1" s="3"/>
      <c r="JW1" s="4"/>
      <c r="JX1" s="3"/>
      <c r="JY1" s="4"/>
      <c r="JZ1" s="3"/>
      <c r="KA1" s="4"/>
      <c r="KB1" s="3"/>
      <c r="KC1" s="4"/>
      <c r="KD1" s="3"/>
      <c r="KE1" s="4"/>
      <c r="KF1" s="3"/>
      <c r="KG1" s="4"/>
      <c r="KH1" s="5"/>
      <c r="KI1" s="4"/>
      <c r="KJ1" s="5"/>
      <c r="KK1" s="4"/>
      <c r="KL1" s="5"/>
      <c r="KM1" s="4"/>
      <c r="KN1" s="5"/>
      <c r="KO1" s="5"/>
      <c r="KP1" s="5"/>
      <c r="KQ1" s="5"/>
      <c r="KR1" s="5"/>
      <c r="KS1" s="5"/>
      <c r="KT1" s="5"/>
      <c r="KU1" s="5"/>
      <c r="KV1" s="5"/>
      <c r="KW1" s="5"/>
      <c r="KX1" s="6"/>
      <c r="KY1" s="5"/>
      <c r="KZ1" s="5"/>
      <c r="LA1" s="5"/>
      <c r="LB1" s="6"/>
      <c r="LC1" s="5"/>
      <c r="LD1" s="5"/>
      <c r="LE1" s="5"/>
      <c r="LF1" s="6"/>
      <c r="LG1" s="5"/>
      <c r="LH1" s="5"/>
    </row>
    <row r="2" spans="1:398" ht="35.25" customHeight="1">
      <c r="A2" s="7"/>
      <c r="B2" s="8" t="s">
        <v>0</v>
      </c>
      <c r="D2" s="347" t="s">
        <v>959</v>
      </c>
      <c r="F2" s="363" t="s">
        <v>845</v>
      </c>
      <c r="G2" s="373"/>
      <c r="I2" s="347" t="s">
        <v>977</v>
      </c>
      <c r="K2" s="363" t="s">
        <v>829</v>
      </c>
      <c r="L2" s="373"/>
      <c r="M2" s="347" t="s">
        <v>857</v>
      </c>
      <c r="O2" s="363" t="s">
        <v>790</v>
      </c>
      <c r="P2" s="373"/>
      <c r="Q2" s="347" t="s">
        <v>870</v>
      </c>
      <c r="S2" s="363" t="s">
        <v>813</v>
      </c>
      <c r="T2" s="373"/>
      <c r="U2" s="347" t="s">
        <v>856</v>
      </c>
      <c r="W2" s="363" t="s">
        <v>791</v>
      </c>
      <c r="X2" s="373"/>
      <c r="Y2" s="347" t="s">
        <v>854</v>
      </c>
      <c r="AA2" s="363" t="s">
        <v>797</v>
      </c>
      <c r="AB2" s="373"/>
      <c r="AC2" s="347" t="s">
        <v>855</v>
      </c>
      <c r="AE2" s="363" t="s">
        <v>792</v>
      </c>
      <c r="AG2" s="347" t="s">
        <v>845</v>
      </c>
      <c r="AI2" s="363" t="s">
        <v>789</v>
      </c>
      <c r="AK2" s="347" t="s">
        <v>829</v>
      </c>
      <c r="AM2" s="363" t="s">
        <v>763</v>
      </c>
      <c r="AN2" s="373"/>
      <c r="AO2" s="347" t="s">
        <v>790</v>
      </c>
      <c r="AQ2" s="363" t="s">
        <v>715</v>
      </c>
      <c r="AR2" s="373"/>
      <c r="AS2" s="347" t="s">
        <v>813</v>
      </c>
      <c r="AU2" s="363" t="s">
        <v>733</v>
      </c>
      <c r="AV2" s="373"/>
      <c r="AW2" s="347" t="s">
        <v>791</v>
      </c>
      <c r="AY2" s="363" t="s">
        <v>714</v>
      </c>
      <c r="AZ2" s="373"/>
      <c r="BA2" s="347" t="s">
        <v>797</v>
      </c>
      <c r="BC2" s="363" t="s">
        <v>712</v>
      </c>
      <c r="BD2" s="373"/>
      <c r="BE2" s="347" t="s">
        <v>792</v>
      </c>
      <c r="BG2" s="363" t="s">
        <v>713</v>
      </c>
      <c r="BH2" s="373"/>
      <c r="BI2" s="347" t="s">
        <v>789</v>
      </c>
      <c r="BK2" s="363" t="s">
        <v>702</v>
      </c>
      <c r="BL2" s="373"/>
      <c r="BM2" s="347" t="s">
        <v>763</v>
      </c>
      <c r="BO2" s="363" t="s">
        <v>668</v>
      </c>
      <c r="BP2" s="373"/>
      <c r="BQ2" s="347" t="s">
        <v>715</v>
      </c>
      <c r="BS2" s="363" t="s">
        <v>631</v>
      </c>
      <c r="BT2" s="373"/>
      <c r="BU2" s="347" t="s">
        <v>733</v>
      </c>
      <c r="BW2" s="363" t="s">
        <v>654</v>
      </c>
      <c r="BX2" s="373"/>
      <c r="BY2" s="347" t="s">
        <v>714</v>
      </c>
      <c r="CA2" s="363" t="s">
        <v>632</v>
      </c>
      <c r="CB2" s="373"/>
      <c r="CC2" s="347" t="s">
        <v>712</v>
      </c>
      <c r="CE2" s="363" t="s">
        <v>641</v>
      </c>
      <c r="CF2" s="373"/>
      <c r="CG2" s="347" t="s">
        <v>713</v>
      </c>
      <c r="CI2" s="363" t="s">
        <v>642</v>
      </c>
      <c r="CJ2" s="373"/>
      <c r="CK2" s="347" t="s">
        <v>702</v>
      </c>
      <c r="CM2" s="363" t="s">
        <v>630</v>
      </c>
      <c r="CN2" s="373"/>
      <c r="CO2" s="347" t="s">
        <v>668</v>
      </c>
      <c r="CQ2" s="363" t="s">
        <v>611</v>
      </c>
      <c r="CR2" s="373"/>
      <c r="CS2" s="347" t="s">
        <v>631</v>
      </c>
      <c r="CU2" s="363" t="s">
        <v>613</v>
      </c>
      <c r="CV2" s="373"/>
      <c r="CW2" s="347" t="s">
        <v>654</v>
      </c>
      <c r="CY2" s="363" t="s">
        <v>597</v>
      </c>
      <c r="CZ2" s="373"/>
      <c r="DA2" s="347" t="s">
        <v>632</v>
      </c>
      <c r="DC2" s="363" t="s">
        <v>598</v>
      </c>
      <c r="DD2" s="373"/>
      <c r="DE2" s="347" t="s">
        <v>641</v>
      </c>
      <c r="DG2" s="363" t="s">
        <v>585</v>
      </c>
      <c r="DH2" s="373"/>
      <c r="DI2" s="347" t="s">
        <v>642</v>
      </c>
      <c r="DK2" s="363" t="s">
        <v>584</v>
      </c>
      <c r="DL2" s="373"/>
      <c r="DM2" s="347" t="s">
        <v>630</v>
      </c>
      <c r="DO2" s="363" t="s">
        <v>575</v>
      </c>
      <c r="DP2" s="373"/>
      <c r="DQ2" s="347" t="s">
        <v>611</v>
      </c>
      <c r="DS2" s="363" t="s">
        <v>612</v>
      </c>
      <c r="DT2" s="373"/>
      <c r="DU2" s="347" t="s">
        <v>613</v>
      </c>
      <c r="DW2" s="363" t="s">
        <v>574</v>
      </c>
      <c r="DX2" s="8"/>
      <c r="DY2" s="347" t="s">
        <v>597</v>
      </c>
      <c r="EA2" s="363" t="s">
        <v>550</v>
      </c>
      <c r="EB2" s="373"/>
      <c r="EC2" s="347" t="s">
        <v>598</v>
      </c>
      <c r="EE2" s="363" t="s">
        <v>560</v>
      </c>
      <c r="EF2" s="8"/>
      <c r="EG2" s="347" t="s">
        <v>585</v>
      </c>
      <c r="EI2" s="363" t="s">
        <v>586</v>
      </c>
      <c r="EJ2" s="373"/>
      <c r="EK2" s="347" t="s">
        <v>584</v>
      </c>
      <c r="EM2" s="363" t="s">
        <v>547</v>
      </c>
      <c r="EN2" s="373"/>
      <c r="EO2" s="347" t="s">
        <v>575</v>
      </c>
      <c r="EQ2" s="363" t="s">
        <v>533</v>
      </c>
      <c r="ER2" s="373"/>
      <c r="ES2" s="353">
        <v>2019</v>
      </c>
      <c r="EU2" s="353">
        <v>2018</v>
      </c>
      <c r="EV2" s="372"/>
      <c r="EW2" s="353" t="s">
        <v>565</v>
      </c>
      <c r="EY2" s="353" t="s">
        <v>566</v>
      </c>
      <c r="EZ2" s="373"/>
      <c r="FA2" s="363" t="s">
        <v>550</v>
      </c>
      <c r="FC2" s="363" t="s">
        <v>498</v>
      </c>
      <c r="FD2" s="372"/>
      <c r="FE2" s="363" t="s">
        <v>551</v>
      </c>
      <c r="FG2" s="363" t="s">
        <v>499</v>
      </c>
      <c r="FH2" s="372"/>
      <c r="FI2" s="372"/>
      <c r="FJ2" s="363" t="s">
        <v>538</v>
      </c>
      <c r="FL2" s="363" t="s">
        <v>436</v>
      </c>
      <c r="FM2" s="372"/>
      <c r="FN2" s="363" t="s">
        <v>537</v>
      </c>
      <c r="FP2" s="363" t="s">
        <v>437</v>
      </c>
      <c r="FQ2" s="372"/>
      <c r="FR2" s="363" t="s">
        <v>527</v>
      </c>
      <c r="FT2" s="363" t="s">
        <v>279</v>
      </c>
      <c r="FU2" s="372"/>
      <c r="FV2" s="363">
        <v>2018</v>
      </c>
      <c r="FX2" s="363">
        <v>2017</v>
      </c>
      <c r="FY2" s="372"/>
      <c r="FZ2" s="363" t="s">
        <v>515</v>
      </c>
      <c r="GB2" s="363" t="s">
        <v>439</v>
      </c>
      <c r="GC2" s="372"/>
      <c r="GD2" s="363" t="s">
        <v>498</v>
      </c>
      <c r="GF2" s="363" t="s">
        <v>327</v>
      </c>
      <c r="GG2" s="372"/>
      <c r="GH2" s="363" t="s">
        <v>499</v>
      </c>
      <c r="GJ2" s="363" t="s">
        <v>283</v>
      </c>
      <c r="GK2" s="4"/>
      <c r="GL2" s="151" t="s">
        <v>436</v>
      </c>
      <c r="GN2" s="151" t="s">
        <v>298</v>
      </c>
      <c r="GO2" s="179"/>
      <c r="GP2" s="151" t="s">
        <v>437</v>
      </c>
      <c r="GR2" s="151" t="s">
        <v>285</v>
      </c>
      <c r="GS2" s="179"/>
      <c r="GT2" s="152" t="s">
        <v>279</v>
      </c>
      <c r="GV2" s="151" t="s">
        <v>280</v>
      </c>
      <c r="GW2" s="135"/>
      <c r="GX2" s="152">
        <v>2017</v>
      </c>
      <c r="GY2" s="157"/>
      <c r="GZ2" s="151">
        <v>2016</v>
      </c>
      <c r="HA2" s="179"/>
      <c r="HB2" s="152" t="s">
        <v>281</v>
      </c>
      <c r="HC2" s="157"/>
      <c r="HD2" s="151" t="s">
        <v>282</v>
      </c>
      <c r="HE2" s="179"/>
      <c r="HF2" s="152" t="s">
        <v>283</v>
      </c>
      <c r="HG2" s="157"/>
      <c r="HH2" s="151" t="s">
        <v>284</v>
      </c>
      <c r="HI2" s="179"/>
      <c r="HJ2" s="152" t="s">
        <v>296</v>
      </c>
      <c r="HK2" s="157"/>
      <c r="HL2" s="151" t="s">
        <v>297</v>
      </c>
      <c r="HM2" s="179"/>
      <c r="HN2" s="152" t="s">
        <v>298</v>
      </c>
      <c r="HO2" s="157"/>
      <c r="HP2" s="151" t="s">
        <v>299</v>
      </c>
      <c r="HQ2" s="179"/>
      <c r="HR2" s="152" t="s">
        <v>285</v>
      </c>
      <c r="HS2" s="157"/>
      <c r="HT2" s="151" t="s">
        <v>286</v>
      </c>
      <c r="HU2" s="179"/>
      <c r="HV2" s="152" t="s">
        <v>280</v>
      </c>
      <c r="HW2" s="157"/>
      <c r="HX2" s="151" t="s">
        <v>300</v>
      </c>
      <c r="HY2" s="179"/>
      <c r="HZ2" s="152">
        <v>2016</v>
      </c>
      <c r="IA2" s="157"/>
      <c r="IB2" s="151">
        <v>2015</v>
      </c>
      <c r="IC2" s="179"/>
      <c r="ID2" s="179"/>
      <c r="IE2" s="152" t="s">
        <v>282</v>
      </c>
      <c r="IF2" s="185"/>
      <c r="IG2" s="151" t="s">
        <v>301</v>
      </c>
      <c r="IH2" s="186"/>
      <c r="II2" s="152" t="s">
        <v>302</v>
      </c>
      <c r="IJ2" s="157"/>
      <c r="IK2" s="151" t="s">
        <v>303</v>
      </c>
      <c r="IL2" s="179"/>
      <c r="IM2" s="179"/>
      <c r="IN2" s="152" t="s">
        <v>304</v>
      </c>
      <c r="IO2" s="185"/>
      <c r="IP2" s="151" t="s">
        <v>305</v>
      </c>
      <c r="IQ2" s="179"/>
      <c r="IR2" s="179"/>
      <c r="IS2" s="152" t="s">
        <v>306</v>
      </c>
      <c r="IT2" s="185"/>
      <c r="IU2" s="151" t="s">
        <v>307</v>
      </c>
      <c r="IV2" s="179"/>
      <c r="IW2" s="179"/>
      <c r="IX2" s="152" t="s">
        <v>308</v>
      </c>
      <c r="IY2" s="185"/>
      <c r="IZ2" s="151" t="s">
        <v>309</v>
      </c>
      <c r="JA2" s="179"/>
      <c r="JB2" s="152" t="s">
        <v>310</v>
      </c>
      <c r="JC2" s="185"/>
      <c r="JD2" s="151" t="s">
        <v>311</v>
      </c>
      <c r="JE2" s="179"/>
      <c r="JF2" s="151">
        <v>2015</v>
      </c>
      <c r="JG2" s="179"/>
      <c r="JH2" s="151">
        <v>2014</v>
      </c>
      <c r="JI2" s="179"/>
      <c r="JJ2" s="151" t="s">
        <v>301</v>
      </c>
      <c r="JK2" s="185"/>
      <c r="JL2" s="151" t="s">
        <v>290</v>
      </c>
      <c r="JM2" s="179"/>
      <c r="JN2" s="151" t="s">
        <v>303</v>
      </c>
      <c r="JO2" s="157"/>
      <c r="JP2" s="151" t="s">
        <v>312</v>
      </c>
      <c r="JQ2" s="185"/>
      <c r="JR2" s="151" t="s">
        <v>313</v>
      </c>
      <c r="JS2" s="185"/>
      <c r="JT2" s="151" t="s">
        <v>314</v>
      </c>
      <c r="JU2" s="185"/>
      <c r="JV2" s="151" t="s">
        <v>315</v>
      </c>
      <c r="JW2" s="185"/>
      <c r="JX2" s="151" t="s">
        <v>288</v>
      </c>
      <c r="JY2" s="185"/>
      <c r="JZ2" s="151" t="s">
        <v>316</v>
      </c>
      <c r="KA2" s="185"/>
      <c r="KB2" s="151" t="s">
        <v>294</v>
      </c>
      <c r="KC2" s="185"/>
      <c r="KD2" s="151" t="s">
        <v>317</v>
      </c>
      <c r="KE2" s="185"/>
      <c r="KF2" s="151" t="s">
        <v>318</v>
      </c>
      <c r="KG2" s="185"/>
      <c r="KH2" s="151">
        <v>2014</v>
      </c>
      <c r="KI2" s="185"/>
      <c r="KJ2" s="151">
        <v>2013</v>
      </c>
      <c r="KK2" s="185"/>
      <c r="KL2" s="151" t="s">
        <v>290</v>
      </c>
      <c r="KM2" s="157"/>
      <c r="KN2" s="151" t="s">
        <v>291</v>
      </c>
      <c r="KO2" s="179"/>
      <c r="KP2" s="151" t="s">
        <v>312</v>
      </c>
      <c r="KQ2" s="157"/>
      <c r="KR2" s="151" t="s">
        <v>319</v>
      </c>
      <c r="KS2" s="157"/>
      <c r="KT2" s="151" t="s">
        <v>314</v>
      </c>
      <c r="KU2" s="157"/>
      <c r="KV2" s="151" t="s">
        <v>293</v>
      </c>
      <c r="KW2" s="157"/>
      <c r="KX2" s="151" t="s">
        <v>288</v>
      </c>
      <c r="KY2" s="157"/>
      <c r="KZ2" s="151" t="s">
        <v>289</v>
      </c>
      <c r="LA2" s="157"/>
      <c r="LB2" s="151" t="s">
        <v>294</v>
      </c>
      <c r="LC2" s="157"/>
      <c r="LD2" s="151" t="s">
        <v>320</v>
      </c>
      <c r="LE2" s="157"/>
      <c r="LF2" s="151" t="s">
        <v>318</v>
      </c>
      <c r="LG2" s="157"/>
      <c r="LH2" s="151" t="s">
        <v>321</v>
      </c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  <c r="NY2" s="157"/>
      <c r="NZ2" s="157"/>
      <c r="OA2" s="157"/>
      <c r="OB2" s="157"/>
      <c r="OC2" s="157"/>
      <c r="OD2" s="157"/>
      <c r="OE2" s="157"/>
      <c r="OF2" s="157"/>
      <c r="OG2" s="157"/>
      <c r="OH2" s="157"/>
    </row>
    <row r="3" spans="1:398">
      <c r="A3" s="11" t="s">
        <v>48</v>
      </c>
      <c r="B3" s="12" t="s">
        <v>371</v>
      </c>
      <c r="C3" s="167"/>
      <c r="D3" s="348">
        <f>[3]segmenty!$I$9*1000</f>
        <v>9297000</v>
      </c>
      <c r="E3" s="167"/>
      <c r="F3" s="374">
        <f>AG3</f>
        <v>8142000</v>
      </c>
      <c r="G3" s="375"/>
      <c r="H3" s="167"/>
      <c r="I3" s="348">
        <f>[4]segmenty!$I$9*1000</f>
        <v>32535000</v>
      </c>
      <c r="J3" s="167"/>
      <c r="K3" s="374">
        <f>[4]segmenty!$I$47*1000</f>
        <v>41977000</v>
      </c>
      <c r="L3" s="375"/>
      <c r="M3" s="348">
        <f>SUM('Segmenty_Segment''s results (2)'!M4:M11)</f>
        <v>9099000</v>
      </c>
      <c r="N3" s="167"/>
      <c r="O3" s="348">
        <f>SUM('Segmenty_Segment''s results (2)'!M16:M23)</f>
        <v>10792000</v>
      </c>
      <c r="P3" s="375"/>
      <c r="Q3" s="348">
        <f>([5]segmenty!$I$9)*1000</f>
        <v>23030000</v>
      </c>
      <c r="R3" s="167"/>
      <c r="S3" s="348">
        <f>[5]segmenty!$I$47*1000</f>
        <v>31783000</v>
      </c>
      <c r="T3" s="375"/>
      <c r="U3" s="348">
        <f>Q3-Y3</f>
        <v>7746000</v>
      </c>
      <c r="V3" s="167"/>
      <c r="W3" s="348">
        <f>S3-AA3</f>
        <v>9160000</v>
      </c>
      <c r="X3" s="375"/>
      <c r="Y3" s="348">
        <v>15284000</v>
      </c>
      <c r="Z3" s="167"/>
      <c r="AA3" s="348">
        <v>22623000</v>
      </c>
      <c r="AB3" s="375"/>
      <c r="AC3" s="348">
        <f t="shared" ref="AC3:AE6" si="0">Y3-AG3</f>
        <v>7142000</v>
      </c>
      <c r="AD3" s="167"/>
      <c r="AE3" s="348">
        <f t="shared" si="0"/>
        <v>9064000</v>
      </c>
      <c r="AF3" s="167"/>
      <c r="AG3" s="348">
        <f>[6]segmenty!$H$9*1000</f>
        <v>8142000</v>
      </c>
      <c r="AH3" s="167"/>
      <c r="AI3" s="374">
        <f>[6]segmenty!$H$47*1000</f>
        <v>13559000</v>
      </c>
      <c r="AJ3" s="167"/>
      <c r="AK3" s="348">
        <f>[7]segmenty!$H$9*1000</f>
        <v>42657000</v>
      </c>
      <c r="AL3" s="167"/>
      <c r="AM3" s="374">
        <f t="shared" ref="AM3:AM7" si="1">BM3</f>
        <v>37341000</v>
      </c>
      <c r="AN3" s="375"/>
      <c r="AO3" s="348">
        <f t="shared" ref="AO3:AO6" si="2">AK3-AS3</f>
        <v>10215000</v>
      </c>
      <c r="AP3" s="167"/>
      <c r="AQ3" s="374">
        <f t="shared" ref="AQ3:AQ7" si="3">BQ3</f>
        <v>10531000</v>
      </c>
      <c r="AR3" s="375"/>
      <c r="AS3" s="348">
        <f>([8]segmenty!$H$9)*1000</f>
        <v>32442000</v>
      </c>
      <c r="AT3" s="167"/>
      <c r="AU3" s="374">
        <f t="shared" ref="AU3:AU7" si="4">BU3</f>
        <v>26810000</v>
      </c>
      <c r="AV3" s="375"/>
      <c r="AW3" s="348">
        <f>'[8]segmenty 3 m-ce'!$H$69*1000</f>
        <v>9160000</v>
      </c>
      <c r="AX3" s="167"/>
      <c r="AY3" s="374">
        <f t="shared" ref="AY3:AY7" si="5">BY3</f>
        <v>8690000</v>
      </c>
      <c r="AZ3" s="375"/>
      <c r="BA3" s="348">
        <f>[9]segmenty!$H$9*1000</f>
        <v>23282000</v>
      </c>
      <c r="BB3" s="167"/>
      <c r="BC3" s="374">
        <f>[9]segmenty!$K$48*1000</f>
        <v>18124000</v>
      </c>
      <c r="BD3" s="375"/>
      <c r="BE3" s="348">
        <f t="shared" ref="BE3:BG6" si="6">BA3-BI3</f>
        <v>9723000</v>
      </c>
      <c r="BF3" s="167"/>
      <c r="BG3" s="374">
        <f t="shared" si="6"/>
        <v>8311000</v>
      </c>
      <c r="BH3" s="375"/>
      <c r="BI3" s="348">
        <f>[10]segmenty!$H$9*1000</f>
        <v>13559000</v>
      </c>
      <c r="BJ3" s="167"/>
      <c r="BK3" s="374">
        <f>[10]segmenty!$K$48*1000</f>
        <v>9813000</v>
      </c>
      <c r="BL3" s="375"/>
      <c r="BM3" s="348">
        <v>37341000</v>
      </c>
      <c r="BN3" s="167"/>
      <c r="BO3" s="374">
        <v>25614000</v>
      </c>
      <c r="BP3" s="375"/>
      <c r="BQ3" s="348">
        <f t="shared" ref="BQ3:BS6" si="7">BM3-BU3</f>
        <v>10531000</v>
      </c>
      <c r="BR3" s="167"/>
      <c r="BS3" s="374">
        <f t="shared" si="7"/>
        <v>7750000</v>
      </c>
      <c r="BT3" s="375"/>
      <c r="BU3" s="348">
        <v>26810000</v>
      </c>
      <c r="BV3" s="167"/>
      <c r="BW3" s="374">
        <v>17864000</v>
      </c>
      <c r="BX3" s="375"/>
      <c r="BY3" s="348">
        <v>8690000</v>
      </c>
      <c r="BZ3" s="167"/>
      <c r="CA3" s="374">
        <v>5998000</v>
      </c>
      <c r="CB3" s="375"/>
      <c r="CC3" s="348">
        <v>18124000</v>
      </c>
      <c r="CD3" s="167"/>
      <c r="CE3" s="374">
        <v>11866000</v>
      </c>
      <c r="CF3" s="375"/>
      <c r="CG3" s="348">
        <f t="shared" ref="CG3:CG6" si="8">CC3-CK3</f>
        <v>8311000</v>
      </c>
      <c r="CH3" s="167"/>
      <c r="CI3" s="374">
        <f t="shared" ref="CI3:CI6" si="9">CE3-CM3</f>
        <v>5421000</v>
      </c>
      <c r="CJ3" s="375"/>
      <c r="CK3" s="348">
        <v>9813000</v>
      </c>
      <c r="CL3" s="167"/>
      <c r="CM3" s="374">
        <v>6445000</v>
      </c>
      <c r="CN3" s="375"/>
      <c r="CO3" s="348">
        <v>25614000</v>
      </c>
      <c r="CP3" s="167"/>
      <c r="CQ3" s="374">
        <v>20850000</v>
      </c>
      <c r="CR3" s="375"/>
      <c r="CS3" s="348">
        <f t="shared" ref="CS3:CS6" si="10">CO3-CW3</f>
        <v>7750403</v>
      </c>
      <c r="CT3" s="167"/>
      <c r="CU3" s="374">
        <f t="shared" ref="CU3:CU6" si="11">CQ3-CY3</f>
        <v>5629051</v>
      </c>
      <c r="CV3" s="375"/>
      <c r="CW3" s="348">
        <v>17863597</v>
      </c>
      <c r="CX3" s="167"/>
      <c r="CY3" s="374">
        <v>15220949</v>
      </c>
      <c r="CZ3" s="375"/>
      <c r="DA3" s="348">
        <f t="shared" ref="DA3:DA5" si="12">CW3-DE3</f>
        <v>5997216</v>
      </c>
      <c r="DB3" s="167"/>
      <c r="DC3" s="374">
        <f t="shared" ref="DC3:DC6" si="13">CY3-DG3</f>
        <v>5034171</v>
      </c>
      <c r="DD3" s="375"/>
      <c r="DE3" s="348">
        <v>11866381</v>
      </c>
      <c r="DF3" s="167"/>
      <c r="DG3" s="374">
        <v>10186778</v>
      </c>
      <c r="DH3" s="375"/>
      <c r="DI3" s="348">
        <f t="shared" ref="DI3:DK6" si="14">DE3-DM3</f>
        <v>5421868</v>
      </c>
      <c r="DJ3" s="167"/>
      <c r="DK3" s="374">
        <f t="shared" si="14"/>
        <v>4719012</v>
      </c>
      <c r="DL3" s="375"/>
      <c r="DM3" s="348">
        <v>6444513</v>
      </c>
      <c r="DN3" s="167"/>
      <c r="DO3" s="374">
        <f t="shared" ref="DO3:DO7" si="15">EO3</f>
        <v>5467766</v>
      </c>
      <c r="DP3" s="375"/>
      <c r="DQ3" s="348">
        <v>20850008</v>
      </c>
      <c r="DR3" s="167"/>
      <c r="DS3" s="374">
        <v>19558292</v>
      </c>
      <c r="DT3" s="375"/>
      <c r="DU3" s="348">
        <f t="shared" ref="DU3:DU6" si="16">DQ3-DY3</f>
        <v>5629059</v>
      </c>
      <c r="DV3" s="167"/>
      <c r="DW3" s="348">
        <f t="shared" ref="DW3:DW6" si="17">DS3-EA3</f>
        <v>5120102</v>
      </c>
      <c r="DX3" s="12"/>
      <c r="DY3" s="348">
        <v>15220949</v>
      </c>
      <c r="DZ3" s="167"/>
      <c r="EA3" s="374">
        <v>14438190</v>
      </c>
      <c r="EB3" s="375"/>
      <c r="EC3" s="348">
        <f t="shared" ref="EC3:EE6" si="18">DY3-EG3</f>
        <v>5332932</v>
      </c>
      <c r="ED3" s="167"/>
      <c r="EE3" s="348">
        <f t="shared" si="18"/>
        <v>5112346</v>
      </c>
      <c r="EF3" s="12"/>
      <c r="EG3" s="348">
        <v>9888017</v>
      </c>
      <c r="EH3" s="167"/>
      <c r="EI3" s="374">
        <v>9325844</v>
      </c>
      <c r="EJ3" s="375"/>
      <c r="EK3" s="348">
        <v>4622401</v>
      </c>
      <c r="EL3" s="167"/>
      <c r="EM3" s="374">
        <v>4238729</v>
      </c>
      <c r="EN3" s="375"/>
      <c r="EO3" s="348">
        <v>5467766</v>
      </c>
      <c r="EP3" s="167"/>
      <c r="EQ3" s="374">
        <v>5312809</v>
      </c>
      <c r="ER3" s="375"/>
      <c r="ES3" s="354">
        <v>19558292</v>
      </c>
      <c r="EU3" s="474">
        <v>18121748</v>
      </c>
      <c r="EV3" s="357"/>
      <c r="EW3" s="354">
        <v>5120102</v>
      </c>
      <c r="EY3" s="474">
        <v>4819946</v>
      </c>
      <c r="EZ3" s="375"/>
      <c r="FA3" s="374">
        <v>15259646</v>
      </c>
      <c r="FB3" s="376"/>
      <c r="FC3" s="374">
        <v>13301802</v>
      </c>
      <c r="FD3" s="357"/>
      <c r="FE3" s="374">
        <v>4861792</v>
      </c>
      <c r="FF3" s="376"/>
      <c r="FG3" s="374">
        <v>4476268</v>
      </c>
      <c r="FH3" s="375"/>
      <c r="FI3" s="357"/>
      <c r="FJ3" s="374">
        <v>10397854</v>
      </c>
      <c r="FK3" s="376"/>
      <c r="FL3" s="374">
        <v>8825534</v>
      </c>
      <c r="FM3" s="357"/>
      <c r="FN3" s="374">
        <v>5085045</v>
      </c>
      <c r="FO3" s="376"/>
      <c r="FP3" s="374">
        <v>4188648</v>
      </c>
      <c r="FQ3" s="357"/>
      <c r="FR3" s="374">
        <v>5312809</v>
      </c>
      <c r="FS3" s="376"/>
      <c r="FT3" s="374">
        <v>4636886</v>
      </c>
      <c r="FU3" s="375"/>
      <c r="FV3" s="374">
        <v>18121748</v>
      </c>
      <c r="FW3" s="376"/>
      <c r="FX3" s="374">
        <v>17424551</v>
      </c>
      <c r="FY3" s="357"/>
      <c r="FZ3" s="374">
        <v>4819946</v>
      </c>
      <c r="GA3" s="376"/>
      <c r="GB3" s="374">
        <v>4550562</v>
      </c>
      <c r="GC3" s="357"/>
      <c r="GD3" s="374">
        <v>13301802</v>
      </c>
      <c r="GE3" s="376"/>
      <c r="GF3" s="374">
        <v>12873989</v>
      </c>
      <c r="GG3" s="357"/>
      <c r="GH3" s="374">
        <v>4476268</v>
      </c>
      <c r="GI3" s="376"/>
      <c r="GJ3" s="374">
        <v>4115965</v>
      </c>
      <c r="GK3" s="13"/>
      <c r="GL3" s="188">
        <v>9202371</v>
      </c>
      <c r="GM3" s="167"/>
      <c r="GN3" s="188">
        <v>8758024</v>
      </c>
      <c r="GO3" s="189"/>
      <c r="GP3" s="188">
        <v>4376839</v>
      </c>
      <c r="GQ3" s="167"/>
      <c r="GR3" s="188">
        <v>4166943</v>
      </c>
      <c r="GS3" s="189"/>
      <c r="GT3" s="187">
        <v>4825532</v>
      </c>
      <c r="GU3" s="167"/>
      <c r="GV3" s="188">
        <v>4591081</v>
      </c>
      <c r="GW3" s="9"/>
      <c r="GX3" s="187">
        <v>17416029</v>
      </c>
      <c r="GY3" s="167"/>
      <c r="GZ3" s="188">
        <v>17646489</v>
      </c>
      <c r="HA3" s="189"/>
      <c r="HB3" s="187">
        <v>4544709</v>
      </c>
      <c r="HC3" s="167"/>
      <c r="HD3" s="188">
        <v>4654899</v>
      </c>
      <c r="HE3" s="189"/>
      <c r="HF3" s="187">
        <f>HJ3-HN3</f>
        <v>4115954</v>
      </c>
      <c r="HG3" s="167"/>
      <c r="HH3" s="188">
        <f>HL3-HP3</f>
        <v>4150564</v>
      </c>
      <c r="HI3" s="189"/>
      <c r="HJ3" s="187">
        <v>12871320</v>
      </c>
      <c r="HK3" s="167"/>
      <c r="HL3" s="188">
        <v>12991590</v>
      </c>
      <c r="HM3" s="189"/>
      <c r="HN3" s="187">
        <v>8755366</v>
      </c>
      <c r="HO3" s="167"/>
      <c r="HP3" s="188">
        <v>8841026</v>
      </c>
      <c r="HQ3" s="189"/>
      <c r="HR3" s="187">
        <f>HN3-HV3</f>
        <v>4165829</v>
      </c>
      <c r="HS3" s="167"/>
      <c r="HT3" s="188">
        <f>HP3-HX3</f>
        <v>4276521</v>
      </c>
      <c r="HU3" s="189"/>
      <c r="HV3" s="187">
        <v>4589537</v>
      </c>
      <c r="HW3" s="167"/>
      <c r="HX3" s="188">
        <v>4564505</v>
      </c>
      <c r="HY3" s="189"/>
      <c r="HZ3" s="187">
        <v>17646489</v>
      </c>
      <c r="IA3" s="167"/>
      <c r="IB3" s="188">
        <v>18264440</v>
      </c>
      <c r="IC3" s="189"/>
      <c r="ID3" s="189"/>
      <c r="IE3" s="187">
        <v>4522744</v>
      </c>
      <c r="IF3" s="167"/>
      <c r="IG3" s="188">
        <v>4630199</v>
      </c>
      <c r="IH3" s="190"/>
      <c r="II3" s="187">
        <v>13123745</v>
      </c>
      <c r="IJ3" s="167"/>
      <c r="IK3" s="188">
        <v>13634241</v>
      </c>
      <c r="IL3" s="189"/>
      <c r="IM3" s="189"/>
      <c r="IN3" s="187">
        <v>4180888</v>
      </c>
      <c r="IO3" s="167"/>
      <c r="IP3" s="188">
        <v>4377627</v>
      </c>
      <c r="IQ3" s="189"/>
      <c r="IR3" s="189"/>
      <c r="IS3" s="187">
        <v>8942857</v>
      </c>
      <c r="IT3" s="167"/>
      <c r="IU3" s="188">
        <v>9256614</v>
      </c>
      <c r="IV3" s="189"/>
      <c r="IW3" s="189"/>
      <c r="IX3" s="187">
        <v>4295822</v>
      </c>
      <c r="IY3" s="167"/>
      <c r="IZ3" s="188">
        <v>4466828</v>
      </c>
      <c r="JA3" s="189"/>
      <c r="JB3" s="187">
        <v>4647035</v>
      </c>
      <c r="JC3" s="167"/>
      <c r="JD3" s="188">
        <v>4789786</v>
      </c>
      <c r="JE3" s="189"/>
      <c r="JF3" s="188">
        <v>18375224</v>
      </c>
      <c r="JG3" s="189"/>
      <c r="JH3" s="188">
        <v>18577479</v>
      </c>
      <c r="JI3" s="189"/>
      <c r="JJ3" s="188">
        <v>4740983</v>
      </c>
      <c r="JK3" s="189"/>
      <c r="JL3" s="188">
        <v>4859798</v>
      </c>
      <c r="JM3" s="189"/>
      <c r="JN3" s="188">
        <v>13634241</v>
      </c>
      <c r="JO3" s="167"/>
      <c r="JP3" s="188">
        <v>13717681</v>
      </c>
      <c r="JQ3" s="167"/>
      <c r="JR3" s="188">
        <v>4377627</v>
      </c>
      <c r="JS3" s="167"/>
      <c r="JT3" s="188">
        <v>4412231</v>
      </c>
      <c r="JU3" s="167"/>
      <c r="JV3" s="188">
        <v>9184291</v>
      </c>
      <c r="JW3" s="167"/>
      <c r="JX3" s="188">
        <v>9226315</v>
      </c>
      <c r="JY3" s="167"/>
      <c r="JZ3" s="188">
        <v>4430475</v>
      </c>
      <c r="KA3" s="167"/>
      <c r="KB3" s="188">
        <v>4339051</v>
      </c>
      <c r="KC3" s="167"/>
      <c r="KD3" s="188">
        <v>4753816</v>
      </c>
      <c r="KE3" s="167"/>
      <c r="KF3" s="188">
        <v>4887264</v>
      </c>
      <c r="KG3" s="167"/>
      <c r="KH3" s="188">
        <v>18440763</v>
      </c>
      <c r="KI3" s="167"/>
      <c r="KJ3" s="188">
        <v>19131122</v>
      </c>
      <c r="KK3" s="167"/>
      <c r="KL3" s="188">
        <v>4837662</v>
      </c>
      <c r="KM3" s="167"/>
      <c r="KN3" s="188">
        <v>4917418</v>
      </c>
      <c r="KO3" s="185"/>
      <c r="KP3" s="188">
        <v>13603101</v>
      </c>
      <c r="KQ3" s="157"/>
      <c r="KR3" s="188">
        <v>14213704</v>
      </c>
      <c r="KS3" s="157"/>
      <c r="KT3" s="188">
        <v>4376786</v>
      </c>
      <c r="KU3" s="157"/>
      <c r="KV3" s="188">
        <v>4540102</v>
      </c>
      <c r="KW3" s="157"/>
      <c r="KX3" s="188">
        <v>9226315</v>
      </c>
      <c r="KY3" s="157"/>
      <c r="KZ3" s="188">
        <v>9706524</v>
      </c>
      <c r="LA3" s="157"/>
      <c r="LB3" s="188">
        <v>4339051</v>
      </c>
      <c r="LC3" s="157"/>
      <c r="LD3" s="188">
        <v>4542422</v>
      </c>
      <c r="LE3" s="157"/>
      <c r="LF3" s="188">
        <v>4887264</v>
      </c>
      <c r="LG3" s="157"/>
      <c r="LH3" s="188">
        <v>5164102</v>
      </c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  <c r="NY3" s="157"/>
      <c r="NZ3" s="157"/>
      <c r="OA3" s="157"/>
      <c r="OB3" s="157"/>
      <c r="OC3" s="157"/>
      <c r="OD3" s="157"/>
      <c r="OE3" s="157"/>
      <c r="OF3" s="157"/>
      <c r="OG3" s="157"/>
      <c r="OH3" s="157"/>
    </row>
    <row r="4" spans="1:398">
      <c r="A4" s="7" t="s">
        <v>1</v>
      </c>
      <c r="B4" s="13" t="s">
        <v>371</v>
      </c>
      <c r="C4" s="167"/>
      <c r="D4" s="323">
        <f>[3]segmenty!$I$34*1000</f>
        <v>2331000</v>
      </c>
      <c r="E4" s="167"/>
      <c r="F4" s="376">
        <f t="shared" ref="F4:F7" si="19">AG4</f>
        <v>1541000</v>
      </c>
      <c r="G4" s="376"/>
      <c r="H4" s="167"/>
      <c r="I4" s="323">
        <f>[4]segmenty!$I$34*1000</f>
        <v>6470000</v>
      </c>
      <c r="J4" s="167"/>
      <c r="K4" s="376">
        <f>[4]segmenty!$I$72*1000</f>
        <v>5465000</v>
      </c>
      <c r="L4" s="376"/>
      <c r="M4" s="323">
        <f>SUM('Segmenty_Segment''s results (2)'!N4:N11)</f>
        <v>1458000</v>
      </c>
      <c r="N4" s="167"/>
      <c r="O4" s="323">
        <f>SUM('Segmenty_Segment''s results (2)'!N16:N23)</f>
        <v>592000</v>
      </c>
      <c r="P4" s="376"/>
      <c r="Q4" s="323">
        <f>([5]segmenty!$I$34)*1000</f>
        <v>4606000</v>
      </c>
      <c r="R4" s="167"/>
      <c r="S4" s="323">
        <f>AS4</f>
        <v>5471000</v>
      </c>
      <c r="T4" s="376"/>
      <c r="U4" s="323">
        <f>Q4-Y4</f>
        <v>1477000</v>
      </c>
      <c r="V4" s="167"/>
      <c r="W4" s="323">
        <f>S4-AA4</f>
        <v>1197000</v>
      </c>
      <c r="X4" s="376"/>
      <c r="Y4" s="323">
        <v>3129000</v>
      </c>
      <c r="Z4" s="167"/>
      <c r="AA4" s="323">
        <v>4274000</v>
      </c>
      <c r="AB4" s="376"/>
      <c r="AC4" s="323">
        <f t="shared" si="0"/>
        <v>1588000</v>
      </c>
      <c r="AD4" s="167"/>
      <c r="AE4" s="323">
        <f t="shared" si="0"/>
        <v>2044000</v>
      </c>
      <c r="AF4" s="167"/>
      <c r="AG4" s="323">
        <f>[6]segmenty!$H$34*1000</f>
        <v>1541000</v>
      </c>
      <c r="AH4" s="167"/>
      <c r="AI4" s="376">
        <f>[6]segmenty!$H$72*1000</f>
        <v>2230000</v>
      </c>
      <c r="AJ4" s="167"/>
      <c r="AK4" s="323">
        <f>[7]segmenty!$H$34*1000</f>
        <v>6145000</v>
      </c>
      <c r="AL4" s="167"/>
      <c r="AM4" s="376">
        <f t="shared" si="1"/>
        <v>4016000</v>
      </c>
      <c r="AN4" s="376"/>
      <c r="AO4" s="323">
        <f t="shared" si="2"/>
        <v>674000</v>
      </c>
      <c r="AP4" s="167"/>
      <c r="AQ4" s="376">
        <f t="shared" si="3"/>
        <v>1170000</v>
      </c>
      <c r="AR4" s="376"/>
      <c r="AS4" s="323">
        <f>([8]segmenty!$H$34)*1000</f>
        <v>5471000</v>
      </c>
      <c r="AT4" s="167"/>
      <c r="AU4" s="376">
        <f t="shared" si="4"/>
        <v>2846000</v>
      </c>
      <c r="AV4" s="376"/>
      <c r="AW4" s="323">
        <f>'[8]segmenty 3 m-ce'!$H$84*1000</f>
        <v>1197000</v>
      </c>
      <c r="AX4" s="167"/>
      <c r="AY4" s="376">
        <f t="shared" si="5"/>
        <v>495000</v>
      </c>
      <c r="AZ4" s="376"/>
      <c r="BA4" s="323">
        <f>[9]segmenty!$H$34*1000</f>
        <v>4274000</v>
      </c>
      <c r="BB4" s="167"/>
      <c r="BC4" s="376">
        <f>[9]segmenty!$K$72*1000</f>
        <v>2351000</v>
      </c>
      <c r="BD4" s="376"/>
      <c r="BE4" s="323">
        <f t="shared" si="6"/>
        <v>2044000</v>
      </c>
      <c r="BF4" s="167"/>
      <c r="BG4" s="376">
        <f t="shared" si="6"/>
        <v>396000</v>
      </c>
      <c r="BH4" s="376"/>
      <c r="BI4" s="323">
        <f>[10]segmenty!$H$34*1000</f>
        <v>2230000</v>
      </c>
      <c r="BJ4" s="167"/>
      <c r="BK4" s="376">
        <f>[10]segmenty!$K$71*1000</f>
        <v>1955000</v>
      </c>
      <c r="BL4" s="376"/>
      <c r="BM4" s="323">
        <v>4016000</v>
      </c>
      <c r="BN4" s="167"/>
      <c r="BO4" s="376">
        <v>4152000</v>
      </c>
      <c r="BP4" s="376"/>
      <c r="BQ4" s="323">
        <f t="shared" si="7"/>
        <v>1170000</v>
      </c>
      <c r="BR4" s="167"/>
      <c r="BS4" s="376">
        <f t="shared" si="7"/>
        <v>445000</v>
      </c>
      <c r="BT4" s="376"/>
      <c r="BU4" s="323">
        <v>2846000</v>
      </c>
      <c r="BV4" s="167"/>
      <c r="BW4" s="376">
        <v>3707000</v>
      </c>
      <c r="BX4" s="376"/>
      <c r="BY4" s="323">
        <v>495000</v>
      </c>
      <c r="BZ4" s="167"/>
      <c r="CA4" s="376">
        <v>787000</v>
      </c>
      <c r="CB4" s="376"/>
      <c r="CC4" s="323">
        <v>2351000</v>
      </c>
      <c r="CD4" s="167"/>
      <c r="CE4" s="376">
        <v>2920000</v>
      </c>
      <c r="CF4" s="376"/>
      <c r="CG4" s="323">
        <f t="shared" si="8"/>
        <v>396000</v>
      </c>
      <c r="CH4" s="167"/>
      <c r="CI4" s="376">
        <f t="shared" si="9"/>
        <v>1185000</v>
      </c>
      <c r="CJ4" s="376"/>
      <c r="CK4" s="323">
        <v>1955000</v>
      </c>
      <c r="CL4" s="167"/>
      <c r="CM4" s="376">
        <v>1735000</v>
      </c>
      <c r="CN4" s="376"/>
      <c r="CO4" s="323">
        <v>4152000</v>
      </c>
      <c r="CP4" s="167"/>
      <c r="CQ4" s="376">
        <v>4226000</v>
      </c>
      <c r="CR4" s="376"/>
      <c r="CS4" s="323">
        <f t="shared" si="10"/>
        <v>446772</v>
      </c>
      <c r="CT4" s="167"/>
      <c r="CU4" s="376">
        <f t="shared" si="11"/>
        <v>811079</v>
      </c>
      <c r="CV4" s="376"/>
      <c r="CW4" s="323">
        <v>3705228</v>
      </c>
      <c r="CX4" s="167"/>
      <c r="CY4" s="376">
        <v>3414921</v>
      </c>
      <c r="CZ4" s="376"/>
      <c r="DA4" s="323">
        <f t="shared" si="12"/>
        <v>786578</v>
      </c>
      <c r="DB4" s="167"/>
      <c r="DC4" s="376">
        <f t="shared" si="13"/>
        <v>1007194</v>
      </c>
      <c r="DD4" s="376"/>
      <c r="DE4" s="323">
        <v>2918650</v>
      </c>
      <c r="DF4" s="167"/>
      <c r="DG4" s="376">
        <v>2407727</v>
      </c>
      <c r="DH4" s="376"/>
      <c r="DI4" s="323">
        <f t="shared" si="14"/>
        <v>1183248</v>
      </c>
      <c r="DJ4" s="167"/>
      <c r="DK4" s="376">
        <f t="shared" si="14"/>
        <v>1450326</v>
      </c>
      <c r="DL4" s="376"/>
      <c r="DM4" s="323">
        <v>1735402</v>
      </c>
      <c r="DN4" s="167"/>
      <c r="DO4" s="376">
        <f t="shared" si="15"/>
        <v>957401</v>
      </c>
      <c r="DP4" s="376"/>
      <c r="DQ4" s="323">
        <v>4222717</v>
      </c>
      <c r="DR4" s="167"/>
      <c r="DS4" s="376">
        <v>3599367</v>
      </c>
      <c r="DT4" s="376"/>
      <c r="DU4" s="323">
        <f t="shared" si="16"/>
        <v>809122</v>
      </c>
      <c r="DV4" s="167"/>
      <c r="DW4" s="323">
        <f t="shared" si="17"/>
        <v>442786</v>
      </c>
      <c r="DX4" s="13"/>
      <c r="DY4" s="323">
        <v>3413595</v>
      </c>
      <c r="DZ4" s="167"/>
      <c r="EA4" s="376">
        <v>3156581</v>
      </c>
      <c r="EB4" s="376"/>
      <c r="EC4" s="323">
        <f t="shared" si="18"/>
        <v>1005865</v>
      </c>
      <c r="ED4" s="167"/>
      <c r="EE4" s="323">
        <f t="shared" si="18"/>
        <v>927805</v>
      </c>
      <c r="EF4" s="13"/>
      <c r="EG4" s="323">
        <v>2407730</v>
      </c>
      <c r="EH4" s="167"/>
      <c r="EI4" s="376">
        <v>2228776</v>
      </c>
      <c r="EJ4" s="376"/>
      <c r="EK4" s="323">
        <v>1450329</v>
      </c>
      <c r="EL4" s="167"/>
      <c r="EM4" s="376">
        <v>996452</v>
      </c>
      <c r="EN4" s="376"/>
      <c r="EO4" s="323">
        <v>957401</v>
      </c>
      <c r="EP4" s="167"/>
      <c r="EQ4" s="376">
        <v>1232324</v>
      </c>
      <c r="ER4" s="376"/>
      <c r="ES4" s="355">
        <v>3599367</v>
      </c>
      <c r="EU4" s="376">
        <v>3492084</v>
      </c>
      <c r="EV4" s="357"/>
      <c r="EW4" s="355">
        <v>582961</v>
      </c>
      <c r="EY4" s="376">
        <v>434973</v>
      </c>
      <c r="EZ4" s="376"/>
      <c r="FA4" s="376">
        <v>3016406</v>
      </c>
      <c r="FB4" s="376"/>
      <c r="FC4" s="376">
        <v>3057111</v>
      </c>
      <c r="FD4" s="357"/>
      <c r="FE4" s="376">
        <v>808041</v>
      </c>
      <c r="FF4" s="376"/>
      <c r="FG4" s="376">
        <v>795283</v>
      </c>
      <c r="FH4" s="376"/>
      <c r="FI4" s="357"/>
      <c r="FJ4" s="376">
        <v>2208365</v>
      </c>
      <c r="FK4" s="376"/>
      <c r="FL4" s="376">
        <v>2261828</v>
      </c>
      <c r="FM4" s="357"/>
      <c r="FN4" s="376">
        <v>996168</v>
      </c>
      <c r="FO4" s="376"/>
      <c r="FP4" s="376">
        <v>936172</v>
      </c>
      <c r="FQ4" s="357"/>
      <c r="FR4" s="376">
        <v>1212197</v>
      </c>
      <c r="FS4" s="376"/>
      <c r="FT4" s="376">
        <v>1325656</v>
      </c>
      <c r="FU4" s="376"/>
      <c r="FV4" s="376">
        <v>3374926</v>
      </c>
      <c r="FW4" s="376"/>
      <c r="FX4" s="376">
        <v>3617641</v>
      </c>
      <c r="FY4" s="357"/>
      <c r="FZ4" s="376">
        <v>403331</v>
      </c>
      <c r="GA4" s="376"/>
      <c r="GB4" s="376">
        <v>670921</v>
      </c>
      <c r="GC4" s="357"/>
      <c r="GD4" s="376">
        <v>2971595</v>
      </c>
      <c r="GE4" s="376"/>
      <c r="GF4" s="376">
        <v>2946720</v>
      </c>
      <c r="GG4" s="357"/>
      <c r="GH4" s="376">
        <v>777711</v>
      </c>
      <c r="GI4" s="376"/>
      <c r="GJ4" s="376">
        <v>794410</v>
      </c>
      <c r="GK4" s="13"/>
      <c r="GL4" s="167">
        <v>2193884</v>
      </c>
      <c r="GM4" s="167"/>
      <c r="GN4" s="167">
        <v>2152310</v>
      </c>
      <c r="GO4" s="189"/>
      <c r="GP4" s="167">
        <v>901641</v>
      </c>
      <c r="GQ4" s="167"/>
      <c r="GR4" s="167">
        <v>929828</v>
      </c>
      <c r="GS4" s="189"/>
      <c r="GT4" s="191">
        <v>1292243</v>
      </c>
      <c r="GU4" s="167"/>
      <c r="GV4" s="167">
        <v>1222482</v>
      </c>
      <c r="GW4" s="14"/>
      <c r="GX4" s="191">
        <v>3544591</v>
      </c>
      <c r="GY4" s="167"/>
      <c r="GZ4" s="167">
        <v>3336814</v>
      </c>
      <c r="HA4" s="189"/>
      <c r="HB4" s="191">
        <v>667406</v>
      </c>
      <c r="HC4" s="167"/>
      <c r="HD4" s="167">
        <v>876288</v>
      </c>
      <c r="HE4" s="189"/>
      <c r="HF4" s="191">
        <f>HJ4-HN4</f>
        <v>783205</v>
      </c>
      <c r="HG4" s="167"/>
      <c r="HH4" s="167">
        <f>HL4-HP4</f>
        <v>797351</v>
      </c>
      <c r="HI4" s="189"/>
      <c r="HJ4" s="191">
        <v>2877185</v>
      </c>
      <c r="HK4" s="167"/>
      <c r="HL4" s="167">
        <v>2460526</v>
      </c>
      <c r="HM4" s="189"/>
      <c r="HN4" s="191">
        <v>2093980</v>
      </c>
      <c r="HO4" s="167"/>
      <c r="HP4" s="167">
        <v>1663175</v>
      </c>
      <c r="HQ4" s="189"/>
      <c r="HR4" s="191">
        <f>HN4-HV4</f>
        <v>908739</v>
      </c>
      <c r="HS4" s="167"/>
      <c r="HT4" s="167">
        <f>HP4-HX4</f>
        <v>789064</v>
      </c>
      <c r="HU4" s="189"/>
      <c r="HV4" s="191">
        <v>1185241</v>
      </c>
      <c r="HW4" s="167"/>
      <c r="HX4" s="167">
        <v>874111</v>
      </c>
      <c r="HY4" s="189"/>
      <c r="HZ4" s="191">
        <v>3336814</v>
      </c>
      <c r="IA4" s="167"/>
      <c r="IB4" s="167">
        <v>3523228</v>
      </c>
      <c r="IC4" s="189"/>
      <c r="ID4" s="189"/>
      <c r="IE4" s="191">
        <v>879302</v>
      </c>
      <c r="IF4" s="167"/>
      <c r="IG4" s="167">
        <v>682152</v>
      </c>
      <c r="IH4" s="191"/>
      <c r="II4" s="191">
        <v>2457512</v>
      </c>
      <c r="IJ4" s="167"/>
      <c r="IK4" s="167">
        <v>2841076</v>
      </c>
      <c r="IL4" s="189"/>
      <c r="IM4" s="189"/>
      <c r="IN4" s="191">
        <v>804106</v>
      </c>
      <c r="IO4" s="167"/>
      <c r="IP4" s="167">
        <v>933204</v>
      </c>
      <c r="IQ4" s="189"/>
      <c r="IR4" s="189"/>
      <c r="IS4" s="191">
        <v>1653406</v>
      </c>
      <c r="IT4" s="167"/>
      <c r="IU4" s="167">
        <v>1907872</v>
      </c>
      <c r="IV4" s="189"/>
      <c r="IW4" s="189"/>
      <c r="IX4" s="191">
        <v>780493</v>
      </c>
      <c r="IY4" s="167"/>
      <c r="IZ4" s="167">
        <v>892937</v>
      </c>
      <c r="JA4" s="189"/>
      <c r="JB4" s="191">
        <v>872913</v>
      </c>
      <c r="JC4" s="167"/>
      <c r="JD4" s="167">
        <v>1014935</v>
      </c>
      <c r="JE4" s="189"/>
      <c r="JF4" s="167">
        <v>3523303</v>
      </c>
      <c r="JG4" s="189"/>
      <c r="JH4" s="167">
        <v>3694544</v>
      </c>
      <c r="JI4" s="189"/>
      <c r="JJ4" s="167">
        <v>682227</v>
      </c>
      <c r="JK4" s="189"/>
      <c r="JL4" s="167">
        <v>769168</v>
      </c>
      <c r="JM4" s="189"/>
      <c r="JN4" s="167">
        <v>2841076</v>
      </c>
      <c r="JO4" s="167"/>
      <c r="JP4" s="167">
        <v>2925376</v>
      </c>
      <c r="JQ4" s="167"/>
      <c r="JR4" s="167">
        <v>933204</v>
      </c>
      <c r="JS4" s="167"/>
      <c r="JT4" s="167">
        <v>920761</v>
      </c>
      <c r="JU4" s="167"/>
      <c r="JV4" s="167">
        <v>1914860</v>
      </c>
      <c r="JW4" s="167"/>
      <c r="JX4" s="167">
        <v>1994598</v>
      </c>
      <c r="JY4" s="167"/>
      <c r="JZ4" s="167">
        <v>894004</v>
      </c>
      <c r="KA4" s="167"/>
      <c r="KB4" s="167">
        <v>906390</v>
      </c>
      <c r="KC4" s="167"/>
      <c r="KD4" s="167">
        <v>1020856</v>
      </c>
      <c r="KE4" s="167"/>
      <c r="KF4" s="167">
        <v>1088208</v>
      </c>
      <c r="KG4" s="167"/>
      <c r="KH4" s="167">
        <v>3627100</v>
      </c>
      <c r="KI4" s="167"/>
      <c r="KJ4" s="167">
        <v>3661484</v>
      </c>
      <c r="KK4" s="167"/>
      <c r="KL4" s="167">
        <v>711791</v>
      </c>
      <c r="KM4" s="167"/>
      <c r="KN4" s="167">
        <v>660767</v>
      </c>
      <c r="KO4" s="167"/>
      <c r="KP4" s="167">
        <v>2915309</v>
      </c>
      <c r="KQ4" s="157"/>
      <c r="KR4" s="167">
        <v>3000717</v>
      </c>
      <c r="KS4" s="157"/>
      <c r="KT4" s="167">
        <v>920711</v>
      </c>
      <c r="KU4" s="157"/>
      <c r="KV4" s="167">
        <v>947054</v>
      </c>
      <c r="KW4" s="157"/>
      <c r="KX4" s="167">
        <v>1994598</v>
      </c>
      <c r="KY4" s="157"/>
      <c r="KZ4" s="167">
        <v>2053663</v>
      </c>
      <c r="LA4" s="157"/>
      <c r="LB4" s="167">
        <v>906390</v>
      </c>
      <c r="LC4" s="157"/>
      <c r="LD4" s="167">
        <v>831507</v>
      </c>
      <c r="LE4" s="157"/>
      <c r="LF4" s="167">
        <v>1088208</v>
      </c>
      <c r="LG4" s="157"/>
      <c r="LH4" s="167">
        <v>1222156</v>
      </c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  <c r="MT4" s="157"/>
      <c r="MU4" s="157"/>
      <c r="MV4" s="157"/>
      <c r="MW4" s="157"/>
      <c r="MX4" s="157"/>
      <c r="MY4" s="157"/>
      <c r="MZ4" s="157"/>
      <c r="NA4" s="157"/>
      <c r="NB4" s="157"/>
      <c r="NC4" s="157"/>
      <c r="ND4" s="157"/>
      <c r="NE4" s="157"/>
      <c r="NF4" s="157"/>
      <c r="NG4" s="157"/>
      <c r="NH4" s="157"/>
      <c r="NI4" s="157"/>
      <c r="NJ4" s="157"/>
      <c r="NK4" s="157"/>
      <c r="NL4" s="157"/>
      <c r="NM4" s="157"/>
      <c r="NN4" s="157"/>
      <c r="NO4" s="157"/>
      <c r="NP4" s="157"/>
      <c r="NQ4" s="157"/>
      <c r="NR4" s="157"/>
      <c r="NS4" s="157"/>
      <c r="NT4" s="157"/>
      <c r="NU4" s="157"/>
      <c r="NV4" s="157"/>
      <c r="NW4" s="157"/>
      <c r="NX4" s="157"/>
      <c r="NY4" s="157"/>
      <c r="NZ4" s="157"/>
      <c r="OA4" s="157"/>
      <c r="OB4" s="157"/>
      <c r="OC4" s="157"/>
      <c r="OD4" s="157"/>
      <c r="OE4" s="157"/>
      <c r="OF4" s="157"/>
      <c r="OG4" s="157"/>
      <c r="OH4" s="157"/>
    </row>
    <row r="5" spans="1:398">
      <c r="A5" s="7" t="s">
        <v>49</v>
      </c>
      <c r="B5" s="13" t="s">
        <v>371</v>
      </c>
      <c r="C5" s="167"/>
      <c r="D5" s="323">
        <f>[3]segmenty!$I$19*1000</f>
        <v>1131000</v>
      </c>
      <c r="E5" s="167"/>
      <c r="F5" s="376">
        <f t="shared" si="19"/>
        <v>531000</v>
      </c>
      <c r="G5" s="376"/>
      <c r="H5" s="167"/>
      <c r="I5" s="323">
        <f>[4]segmenty!$I$19*1000</f>
        <v>590000</v>
      </c>
      <c r="J5" s="167"/>
      <c r="K5" s="376">
        <f>[4]segmenty!$I$57*1000</f>
        <v>1128000</v>
      </c>
      <c r="L5" s="376"/>
      <c r="M5" s="323">
        <f>SUM('Segmenty_Segment''s results (2)'!O4:O11)</f>
        <v>940000</v>
      </c>
      <c r="N5" s="167"/>
      <c r="O5" s="323">
        <f>SUM('Segmenty_Segment''s results (2)'!O16:O23)</f>
        <v>-513000</v>
      </c>
      <c r="P5" s="376"/>
      <c r="Q5" s="323">
        <f>([5]segmenty!$I$19)*1000</f>
        <v>-207000</v>
      </c>
      <c r="R5" s="167"/>
      <c r="S5" s="323">
        <f>AS5</f>
        <v>2263000</v>
      </c>
      <c r="T5" s="376"/>
      <c r="U5" s="323">
        <f>Q5-Y5</f>
        <v>636000</v>
      </c>
      <c r="V5" s="167"/>
      <c r="W5" s="323">
        <f>S5-AA5</f>
        <v>387000</v>
      </c>
      <c r="X5" s="376"/>
      <c r="Y5" s="323">
        <v>-843000</v>
      </c>
      <c r="Z5" s="167"/>
      <c r="AA5" s="323">
        <v>1876000</v>
      </c>
      <c r="AB5" s="376"/>
      <c r="AC5" s="323">
        <f t="shared" si="0"/>
        <v>-1374000</v>
      </c>
      <c r="AD5" s="167"/>
      <c r="AE5" s="323">
        <f t="shared" si="0"/>
        <v>840000</v>
      </c>
      <c r="AF5" s="167"/>
      <c r="AG5" s="323">
        <f>[6]segmenty!$H$19*1000</f>
        <v>531000</v>
      </c>
      <c r="AH5" s="167"/>
      <c r="AI5" s="376">
        <f>[6]segmenty!$H$57*1000</f>
        <v>1036000</v>
      </c>
      <c r="AJ5" s="167"/>
      <c r="AK5" s="323">
        <f>[7]segmenty!$H$19*1000</f>
        <v>1678000</v>
      </c>
      <c r="AL5" s="167"/>
      <c r="AM5" s="376">
        <f t="shared" si="1"/>
        <v>-134000</v>
      </c>
      <c r="AN5" s="376"/>
      <c r="AO5" s="323">
        <f t="shared" si="2"/>
        <v>-585000</v>
      </c>
      <c r="AP5" s="167"/>
      <c r="AQ5" s="376">
        <f t="shared" si="3"/>
        <v>-531000</v>
      </c>
      <c r="AR5" s="376"/>
      <c r="AS5" s="323">
        <f>([8]segmenty!$H$19)*1000</f>
        <v>2263000</v>
      </c>
      <c r="AT5" s="167"/>
      <c r="AU5" s="376">
        <f t="shared" si="4"/>
        <v>397000</v>
      </c>
      <c r="AV5" s="376"/>
      <c r="AW5" s="323">
        <f>'[8]segmenty 3 m-ce'!$H$79*1000</f>
        <v>387000</v>
      </c>
      <c r="AX5" s="167"/>
      <c r="AY5" s="376">
        <f t="shared" si="5"/>
        <v>-232000</v>
      </c>
      <c r="AZ5" s="376"/>
      <c r="BA5" s="323">
        <f>[9]segmenty!$H$19*1000</f>
        <v>1876000</v>
      </c>
      <c r="BB5" s="167"/>
      <c r="BC5" s="376">
        <f>[9]segmenty!$K$57*1000</f>
        <v>629000</v>
      </c>
      <c r="BD5" s="376"/>
      <c r="BE5" s="323">
        <f t="shared" si="6"/>
        <v>840000</v>
      </c>
      <c r="BF5" s="167"/>
      <c r="BG5" s="376">
        <f t="shared" si="6"/>
        <v>-272000</v>
      </c>
      <c r="BH5" s="376"/>
      <c r="BI5" s="323">
        <f>[10]segmenty!$H$19*1000</f>
        <v>1036000</v>
      </c>
      <c r="BJ5" s="167"/>
      <c r="BK5" s="376">
        <f>[10]segmenty!$K$57*1000</f>
        <v>901000</v>
      </c>
      <c r="BL5" s="376"/>
      <c r="BM5" s="323">
        <v>-134000</v>
      </c>
      <c r="BN5" s="167"/>
      <c r="BO5" s="376">
        <v>385000</v>
      </c>
      <c r="BP5" s="376"/>
      <c r="BQ5" s="323">
        <f t="shared" si="7"/>
        <v>-531000</v>
      </c>
      <c r="BR5" s="167"/>
      <c r="BS5" s="376">
        <f t="shared" si="7"/>
        <v>-112000</v>
      </c>
      <c r="BT5" s="376"/>
      <c r="BU5" s="323">
        <v>397000</v>
      </c>
      <c r="BV5" s="167"/>
      <c r="BW5" s="376">
        <v>497000</v>
      </c>
      <c r="BX5" s="376"/>
      <c r="BY5" s="323">
        <v>-232000</v>
      </c>
      <c r="BZ5" s="167"/>
      <c r="CA5" s="376">
        <v>115000</v>
      </c>
      <c r="CB5" s="376"/>
      <c r="CC5" s="323">
        <v>629000</v>
      </c>
      <c r="CD5" s="167"/>
      <c r="CE5" s="376">
        <v>382000</v>
      </c>
      <c r="CF5" s="376"/>
      <c r="CG5" s="323">
        <f t="shared" si="8"/>
        <v>-272000</v>
      </c>
      <c r="CH5" s="167"/>
      <c r="CI5" s="376">
        <f t="shared" si="9"/>
        <v>-469000</v>
      </c>
      <c r="CJ5" s="376"/>
      <c r="CK5" s="323">
        <v>901000</v>
      </c>
      <c r="CL5" s="167"/>
      <c r="CM5" s="376">
        <v>851000</v>
      </c>
      <c r="CN5" s="376"/>
      <c r="CO5" s="323">
        <v>385000</v>
      </c>
      <c r="CP5" s="167"/>
      <c r="CQ5" s="376">
        <v>-2173000</v>
      </c>
      <c r="CR5" s="376"/>
      <c r="CS5" s="323">
        <f t="shared" si="10"/>
        <v>-111534</v>
      </c>
      <c r="CT5" s="167"/>
      <c r="CU5" s="376">
        <f t="shared" si="11"/>
        <v>-2568279</v>
      </c>
      <c r="CV5" s="376"/>
      <c r="CW5" s="323">
        <v>496534</v>
      </c>
      <c r="CX5" s="167"/>
      <c r="CY5" s="376">
        <v>395279</v>
      </c>
      <c r="CZ5" s="376"/>
      <c r="DA5" s="323">
        <f t="shared" si="12"/>
        <v>114569</v>
      </c>
      <c r="DB5" s="167"/>
      <c r="DC5" s="376">
        <f t="shared" si="13"/>
        <v>368233</v>
      </c>
      <c r="DD5" s="376"/>
      <c r="DE5" s="323">
        <v>381965</v>
      </c>
      <c r="DF5" s="167"/>
      <c r="DG5" s="376">
        <v>27046</v>
      </c>
      <c r="DH5" s="376"/>
      <c r="DI5" s="323">
        <f t="shared" si="14"/>
        <v>-468836</v>
      </c>
      <c r="DJ5" s="167"/>
      <c r="DK5" s="376">
        <f t="shared" si="14"/>
        <v>-134429</v>
      </c>
      <c r="DL5" s="376"/>
      <c r="DM5" s="323">
        <v>850801</v>
      </c>
      <c r="DN5" s="167"/>
      <c r="DO5" s="376">
        <f t="shared" si="15"/>
        <v>161475</v>
      </c>
      <c r="DP5" s="376"/>
      <c r="DQ5" s="323">
        <v>-2487877</v>
      </c>
      <c r="DR5" s="167"/>
      <c r="DS5" s="376">
        <v>-11683</v>
      </c>
      <c r="DT5" s="376"/>
      <c r="DU5" s="323">
        <f t="shared" si="16"/>
        <v>-2547677</v>
      </c>
      <c r="DV5" s="167"/>
      <c r="DW5" s="323">
        <f t="shared" si="17"/>
        <v>-986098</v>
      </c>
      <c r="DX5" s="13"/>
      <c r="DY5" s="323">
        <v>59800</v>
      </c>
      <c r="DZ5" s="167"/>
      <c r="EA5" s="376">
        <v>974415</v>
      </c>
      <c r="EB5" s="376"/>
      <c r="EC5" s="323">
        <f t="shared" si="18"/>
        <v>376882</v>
      </c>
      <c r="ED5" s="167"/>
      <c r="EE5" s="323">
        <f t="shared" si="18"/>
        <v>302029</v>
      </c>
      <c r="EF5" s="13"/>
      <c r="EG5" s="323">
        <v>-317082</v>
      </c>
      <c r="EH5" s="167"/>
      <c r="EI5" s="376">
        <v>672386</v>
      </c>
      <c r="EJ5" s="376"/>
      <c r="EK5" s="323">
        <v>-478556.99999999994</v>
      </c>
      <c r="EL5" s="167"/>
      <c r="EM5" s="376">
        <v>136624</v>
      </c>
      <c r="EN5" s="376"/>
      <c r="EO5" s="323">
        <v>161475</v>
      </c>
      <c r="EP5" s="167"/>
      <c r="EQ5" s="376">
        <v>535762</v>
      </c>
      <c r="ER5" s="376"/>
      <c r="ES5" s="475">
        <v>-11683</v>
      </c>
      <c r="EU5" s="376">
        <v>207045</v>
      </c>
      <c r="EV5" s="357"/>
      <c r="EW5" s="475">
        <v>-866174</v>
      </c>
      <c r="EY5" s="476">
        <v>-647835</v>
      </c>
      <c r="EZ5" s="376"/>
      <c r="FA5" s="376">
        <v>854491</v>
      </c>
      <c r="FB5" s="376"/>
      <c r="FC5" s="376">
        <v>854880</v>
      </c>
      <c r="FD5" s="357"/>
      <c r="FE5" s="376">
        <v>187551</v>
      </c>
      <c r="FF5" s="376"/>
      <c r="FG5" s="376">
        <v>286444</v>
      </c>
      <c r="FH5" s="376"/>
      <c r="FI5" s="357"/>
      <c r="FJ5" s="376">
        <v>666940</v>
      </c>
      <c r="FK5" s="376"/>
      <c r="FL5" s="376">
        <v>568436</v>
      </c>
      <c r="FM5" s="357"/>
      <c r="FN5" s="376">
        <v>142248</v>
      </c>
      <c r="FO5" s="376"/>
      <c r="FP5" s="376">
        <v>-68233</v>
      </c>
      <c r="FQ5" s="357"/>
      <c r="FR5" s="376">
        <v>524692</v>
      </c>
      <c r="FS5" s="376"/>
      <c r="FT5" s="376">
        <v>636669</v>
      </c>
      <c r="FU5" s="376"/>
      <c r="FV5" s="376">
        <v>207045</v>
      </c>
      <c r="FW5" s="376"/>
      <c r="FX5" s="376">
        <v>1382946</v>
      </c>
      <c r="FY5" s="357"/>
      <c r="FZ5" s="376">
        <v>-647835</v>
      </c>
      <c r="GA5" s="376"/>
      <c r="GB5" s="376">
        <v>188716</v>
      </c>
      <c r="GC5" s="357"/>
      <c r="GD5" s="376">
        <v>854880</v>
      </c>
      <c r="GE5" s="376"/>
      <c r="GF5" s="376">
        <v>1194230</v>
      </c>
      <c r="GG5" s="357"/>
      <c r="GH5" s="376">
        <v>286444</v>
      </c>
      <c r="GI5" s="376"/>
      <c r="GJ5" s="376">
        <v>188753</v>
      </c>
      <c r="GK5" s="13"/>
      <c r="GL5" s="167">
        <v>568436</v>
      </c>
      <c r="GM5" s="167"/>
      <c r="GN5" s="167">
        <v>1005477</v>
      </c>
      <c r="GO5" s="189"/>
      <c r="GP5" s="156">
        <v>-68233</v>
      </c>
      <c r="GQ5" s="167"/>
      <c r="GR5" s="167">
        <v>364942</v>
      </c>
      <c r="GS5" s="189"/>
      <c r="GT5" s="191">
        <v>636669</v>
      </c>
      <c r="GU5" s="167"/>
      <c r="GV5" s="167">
        <v>640535</v>
      </c>
      <c r="GW5" s="14"/>
      <c r="GX5" s="191">
        <v>1382946</v>
      </c>
      <c r="GY5" s="167"/>
      <c r="GZ5" s="167">
        <v>370137</v>
      </c>
      <c r="HA5" s="189"/>
      <c r="HB5" s="191">
        <v>188716</v>
      </c>
      <c r="HC5" s="167"/>
      <c r="HD5" s="167">
        <v>93809</v>
      </c>
      <c r="HE5" s="189"/>
      <c r="HF5" s="191">
        <f>HJ5-HN5</f>
        <v>188753</v>
      </c>
      <c r="HG5" s="167"/>
      <c r="HH5" s="167">
        <f>HL5-HP5</f>
        <v>271611</v>
      </c>
      <c r="HI5" s="189"/>
      <c r="HJ5" s="191">
        <v>1194230</v>
      </c>
      <c r="HK5" s="167"/>
      <c r="HL5" s="167">
        <v>276328</v>
      </c>
      <c r="HM5" s="189"/>
      <c r="HN5" s="191">
        <v>1005477</v>
      </c>
      <c r="HO5" s="167"/>
      <c r="HP5" s="192">
        <v>4717</v>
      </c>
      <c r="HQ5" s="189"/>
      <c r="HR5" s="191">
        <f>HN5-HV5</f>
        <v>364942</v>
      </c>
      <c r="HS5" s="167"/>
      <c r="HT5" s="192">
        <f>HP5-HX5</f>
        <v>-319089</v>
      </c>
      <c r="HU5" s="189"/>
      <c r="HV5" s="191">
        <v>640535</v>
      </c>
      <c r="HW5" s="167"/>
      <c r="HX5" s="192">
        <v>323806</v>
      </c>
      <c r="HY5" s="189"/>
      <c r="HZ5" s="191">
        <v>370137</v>
      </c>
      <c r="IA5" s="167"/>
      <c r="IB5" s="192">
        <v>-1804215</v>
      </c>
      <c r="IC5" s="189"/>
      <c r="ID5" s="189"/>
      <c r="IE5" s="191">
        <v>94005</v>
      </c>
      <c r="IF5" s="167"/>
      <c r="IG5" s="192">
        <v>-2883370</v>
      </c>
      <c r="IH5" s="191"/>
      <c r="II5" s="191">
        <v>276132</v>
      </c>
      <c r="IJ5" s="167"/>
      <c r="IK5" s="167">
        <v>1079155</v>
      </c>
      <c r="IL5" s="189"/>
      <c r="IM5" s="189"/>
      <c r="IN5" s="191">
        <v>271415</v>
      </c>
      <c r="IO5" s="167"/>
      <c r="IP5" s="167">
        <v>358768</v>
      </c>
      <c r="IQ5" s="189"/>
      <c r="IR5" s="189"/>
      <c r="IS5" s="191">
        <v>4717</v>
      </c>
      <c r="IT5" s="167"/>
      <c r="IU5" s="167">
        <v>718524</v>
      </c>
      <c r="IV5" s="189"/>
      <c r="IW5" s="189"/>
      <c r="IX5" s="193">
        <v>-319089</v>
      </c>
      <c r="IY5" s="167"/>
      <c r="IZ5" s="167">
        <v>216481</v>
      </c>
      <c r="JA5" s="189"/>
      <c r="JB5" s="191">
        <v>323806</v>
      </c>
      <c r="JC5" s="167"/>
      <c r="JD5" s="167">
        <v>502730</v>
      </c>
      <c r="JE5" s="189"/>
      <c r="JF5" s="192">
        <v>-1804215</v>
      </c>
      <c r="JG5" s="189"/>
      <c r="JH5" s="167">
        <v>1185560</v>
      </c>
      <c r="JI5" s="189"/>
      <c r="JJ5" s="192">
        <v>-2883370</v>
      </c>
      <c r="JK5" s="189"/>
      <c r="JL5" s="167">
        <v>132502</v>
      </c>
      <c r="JM5" s="189"/>
      <c r="JN5" s="167">
        <v>1079155</v>
      </c>
      <c r="JO5" s="167"/>
      <c r="JP5" s="167">
        <v>1053058</v>
      </c>
      <c r="JQ5" s="167"/>
      <c r="JR5" s="167">
        <v>358768</v>
      </c>
      <c r="JS5" s="167"/>
      <c r="JT5" s="167">
        <v>319136</v>
      </c>
      <c r="JU5" s="167"/>
      <c r="JV5" s="167">
        <v>720387</v>
      </c>
      <c r="JW5" s="167"/>
      <c r="JX5" s="167">
        <v>733922</v>
      </c>
      <c r="JY5" s="167"/>
      <c r="JZ5" s="167">
        <v>217657</v>
      </c>
      <c r="KA5" s="167"/>
      <c r="KB5" s="167">
        <v>335236</v>
      </c>
      <c r="KC5" s="167"/>
      <c r="KD5" s="167">
        <v>502730</v>
      </c>
      <c r="KE5" s="167"/>
      <c r="KF5" s="167">
        <v>398686</v>
      </c>
      <c r="KG5" s="167"/>
      <c r="KH5" s="167">
        <v>1185560</v>
      </c>
      <c r="KI5" s="167"/>
      <c r="KJ5" s="167">
        <v>1346485</v>
      </c>
      <c r="KK5" s="167"/>
      <c r="KL5" s="167">
        <v>283172</v>
      </c>
      <c r="KM5" s="167"/>
      <c r="KN5" s="167">
        <v>220690</v>
      </c>
      <c r="KO5" s="167"/>
      <c r="KP5" s="167">
        <v>1053058</v>
      </c>
      <c r="KQ5" s="157"/>
      <c r="KR5" s="167">
        <v>1264187</v>
      </c>
      <c r="KS5" s="157"/>
      <c r="KT5" s="167">
        <v>319136</v>
      </c>
      <c r="KU5" s="157"/>
      <c r="KV5" s="167">
        <v>372305</v>
      </c>
      <c r="KW5" s="157"/>
      <c r="KX5" s="167">
        <v>733922</v>
      </c>
      <c r="KY5" s="157"/>
      <c r="KZ5" s="167">
        <v>891882</v>
      </c>
      <c r="LA5" s="157"/>
      <c r="LB5" s="167">
        <v>335236</v>
      </c>
      <c r="LC5" s="157"/>
      <c r="LD5" s="167">
        <v>311084</v>
      </c>
      <c r="LE5" s="157"/>
      <c r="LF5" s="167">
        <v>398686</v>
      </c>
      <c r="LG5" s="157"/>
      <c r="LH5" s="167">
        <v>580798</v>
      </c>
      <c r="LI5" s="157"/>
      <c r="LJ5" s="157"/>
      <c r="LK5" s="157"/>
      <c r="LL5" s="157"/>
      <c r="LM5" s="157"/>
      <c r="LN5" s="157"/>
      <c r="LO5" s="157"/>
      <c r="LP5" s="157"/>
      <c r="LQ5" s="157"/>
      <c r="LR5" s="157"/>
      <c r="LS5" s="157"/>
      <c r="LT5" s="157"/>
      <c r="LU5" s="157"/>
      <c r="LV5" s="157"/>
      <c r="LW5" s="157"/>
      <c r="LX5" s="157"/>
      <c r="LY5" s="157"/>
      <c r="LZ5" s="157"/>
      <c r="MA5" s="157"/>
      <c r="MB5" s="157"/>
      <c r="MC5" s="157"/>
      <c r="MD5" s="157"/>
      <c r="ME5" s="157"/>
      <c r="MF5" s="157"/>
      <c r="MG5" s="157"/>
      <c r="MH5" s="157"/>
      <c r="MI5" s="157"/>
      <c r="MJ5" s="157"/>
      <c r="MK5" s="157"/>
      <c r="ML5" s="157"/>
      <c r="MM5" s="157"/>
      <c r="MN5" s="157"/>
      <c r="MO5" s="157"/>
      <c r="MP5" s="157"/>
      <c r="MQ5" s="157"/>
      <c r="MR5" s="157"/>
      <c r="MS5" s="157"/>
      <c r="MT5" s="157"/>
      <c r="MU5" s="157"/>
      <c r="MV5" s="157"/>
      <c r="MW5" s="157"/>
      <c r="MX5" s="157"/>
      <c r="MY5" s="157"/>
      <c r="MZ5" s="157"/>
      <c r="NA5" s="157"/>
      <c r="NB5" s="157"/>
      <c r="NC5" s="157"/>
      <c r="ND5" s="157"/>
      <c r="NE5" s="157"/>
      <c r="NF5" s="157"/>
      <c r="NG5" s="157"/>
      <c r="NH5" s="157"/>
      <c r="NI5" s="157"/>
      <c r="NJ5" s="157"/>
      <c r="NK5" s="157"/>
      <c r="NL5" s="157"/>
      <c r="NM5" s="157"/>
      <c r="NN5" s="157"/>
      <c r="NO5" s="157"/>
      <c r="NP5" s="157"/>
      <c r="NQ5" s="157"/>
      <c r="NR5" s="157"/>
      <c r="NS5" s="157"/>
      <c r="NT5" s="157"/>
      <c r="NU5" s="157"/>
      <c r="NV5" s="157"/>
      <c r="NW5" s="157"/>
      <c r="NX5" s="157"/>
      <c r="NY5" s="157"/>
      <c r="NZ5" s="157"/>
      <c r="OA5" s="157"/>
      <c r="OB5" s="157"/>
      <c r="OC5" s="157"/>
      <c r="OD5" s="157"/>
      <c r="OE5" s="157"/>
      <c r="OF5" s="157"/>
      <c r="OG5" s="157"/>
      <c r="OH5" s="157"/>
    </row>
    <row r="6" spans="1:398">
      <c r="A6" s="7" t="s">
        <v>2</v>
      </c>
      <c r="B6" s="13" t="s">
        <v>371</v>
      </c>
      <c r="C6" s="167"/>
      <c r="D6" s="323">
        <f>[3]segmenty!$I$37*1000</f>
        <v>1072000</v>
      </c>
      <c r="E6" s="167"/>
      <c r="F6" s="376">
        <f t="shared" si="19"/>
        <v>847000</v>
      </c>
      <c r="G6" s="376"/>
      <c r="H6" s="167"/>
      <c r="I6" s="323">
        <f>[4]segmenty!$I$37*1000</f>
        <v>5127000</v>
      </c>
      <c r="J6" s="167"/>
      <c r="K6" s="376">
        <f>[4]segmenty!$I$75*1000</f>
        <v>4364000</v>
      </c>
      <c r="L6" s="376"/>
      <c r="M6" s="323">
        <f>[4]segmenty!$I$37*1000-Q6</f>
        <v>1478000</v>
      </c>
      <c r="N6" s="167"/>
      <c r="O6" s="323">
        <f>[4]segmenty!$I$75*1000-S6</f>
        <v>1477000</v>
      </c>
      <c r="P6" s="376"/>
      <c r="Q6" s="323">
        <f>([5]segmenty!$I$37)*1000</f>
        <v>3649000</v>
      </c>
      <c r="R6" s="167"/>
      <c r="S6" s="323">
        <f>AS6</f>
        <v>2887000</v>
      </c>
      <c r="T6" s="376"/>
      <c r="U6" s="323">
        <f>Q6-Y6</f>
        <v>1790000</v>
      </c>
      <c r="V6" s="167"/>
      <c r="W6" s="323">
        <f>S6-AA6</f>
        <v>1022000</v>
      </c>
      <c r="X6" s="376"/>
      <c r="Y6" s="323">
        <v>1859000</v>
      </c>
      <c r="Z6" s="167"/>
      <c r="AA6" s="323">
        <v>1865000</v>
      </c>
      <c r="AB6" s="376"/>
      <c r="AC6" s="323">
        <f t="shared" si="0"/>
        <v>1012000</v>
      </c>
      <c r="AD6" s="167"/>
      <c r="AE6" s="323">
        <f t="shared" si="0"/>
        <v>1085000</v>
      </c>
      <c r="AF6" s="167"/>
      <c r="AG6" s="323">
        <f>[6]segmenty!$H$37*1000</f>
        <v>847000</v>
      </c>
      <c r="AH6" s="167"/>
      <c r="AI6" s="376">
        <f>[6]segmenty!$H$75*1000</f>
        <v>780000</v>
      </c>
      <c r="AJ6" s="167"/>
      <c r="AK6" s="323">
        <f>[7]segmenty!$H$37*1000</f>
        <v>4364000</v>
      </c>
      <c r="AL6" s="167"/>
      <c r="AM6" s="376">
        <f t="shared" si="1"/>
        <v>3962000</v>
      </c>
      <c r="AN6" s="376"/>
      <c r="AO6" s="323">
        <f t="shared" si="2"/>
        <v>1477000</v>
      </c>
      <c r="AP6" s="167"/>
      <c r="AQ6" s="376">
        <f t="shared" si="3"/>
        <v>1363000</v>
      </c>
      <c r="AR6" s="376"/>
      <c r="AS6" s="323">
        <f>([8]segmenty!$H$37)*1000</f>
        <v>2887000</v>
      </c>
      <c r="AT6" s="167"/>
      <c r="AU6" s="376">
        <f t="shared" si="4"/>
        <v>2599000</v>
      </c>
      <c r="AV6" s="376"/>
      <c r="AW6" s="323">
        <f>'[8]segmenty 3 m-ce'!$H$87*1000</f>
        <v>1022000</v>
      </c>
      <c r="AX6" s="167"/>
      <c r="AY6" s="376">
        <f t="shared" si="5"/>
        <v>1118000</v>
      </c>
      <c r="AZ6" s="376"/>
      <c r="BA6" s="323">
        <f>[9]segmenty!$H$37*1000</f>
        <v>1865000</v>
      </c>
      <c r="BB6" s="167"/>
      <c r="BC6" s="376">
        <f>[9]segmenty!$K$75*1000</f>
        <v>1481000</v>
      </c>
      <c r="BD6" s="376"/>
      <c r="BE6" s="323">
        <f t="shared" si="6"/>
        <v>1085000</v>
      </c>
      <c r="BF6" s="167"/>
      <c r="BG6" s="376">
        <f t="shared" si="6"/>
        <v>871000</v>
      </c>
      <c r="BH6" s="376"/>
      <c r="BI6" s="323">
        <f>[10]segmenty!$H$37*1000</f>
        <v>780000</v>
      </c>
      <c r="BJ6" s="167"/>
      <c r="BK6" s="376">
        <f>[10]segmenty!$K$74*1000</f>
        <v>610000</v>
      </c>
      <c r="BL6" s="376"/>
      <c r="BM6" s="323">
        <v>3962000</v>
      </c>
      <c r="BN6" s="167"/>
      <c r="BO6" s="376">
        <v>2932000</v>
      </c>
      <c r="BP6" s="376"/>
      <c r="BQ6" s="323">
        <f t="shared" si="7"/>
        <v>1363000</v>
      </c>
      <c r="BR6" s="167"/>
      <c r="BS6" s="376">
        <f t="shared" si="7"/>
        <v>970000</v>
      </c>
      <c r="BT6" s="376"/>
      <c r="BU6" s="323">
        <v>2599000</v>
      </c>
      <c r="BV6" s="167"/>
      <c r="BW6" s="376">
        <v>1962000</v>
      </c>
      <c r="BX6" s="376"/>
      <c r="BY6" s="323">
        <v>1118000</v>
      </c>
      <c r="BZ6" s="167"/>
      <c r="CA6" s="376">
        <v>676000</v>
      </c>
      <c r="CB6" s="376"/>
      <c r="CC6" s="323">
        <v>1481000</v>
      </c>
      <c r="CD6" s="167"/>
      <c r="CE6" s="376">
        <v>1286000</v>
      </c>
      <c r="CF6" s="376"/>
      <c r="CG6" s="323">
        <f t="shared" si="8"/>
        <v>871000</v>
      </c>
      <c r="CH6" s="167"/>
      <c r="CI6" s="376">
        <f t="shared" si="9"/>
        <v>648000</v>
      </c>
      <c r="CJ6" s="376"/>
      <c r="CK6" s="323">
        <v>610000</v>
      </c>
      <c r="CL6" s="167"/>
      <c r="CM6" s="376">
        <v>638000</v>
      </c>
      <c r="CN6" s="376"/>
      <c r="CO6" s="323">
        <v>2932000</v>
      </c>
      <c r="CP6" s="167"/>
      <c r="CQ6" s="376">
        <v>4039000</v>
      </c>
      <c r="CR6" s="376"/>
      <c r="CS6" s="323">
        <f t="shared" si="10"/>
        <v>968858</v>
      </c>
      <c r="CT6" s="167"/>
      <c r="CU6" s="376">
        <f t="shared" si="11"/>
        <v>1311397</v>
      </c>
      <c r="CV6" s="376"/>
      <c r="CW6" s="323">
        <v>1963142</v>
      </c>
      <c r="CX6" s="167"/>
      <c r="CY6" s="376">
        <v>2727603</v>
      </c>
      <c r="CZ6" s="376"/>
      <c r="DA6" s="323">
        <f t="shared" ref="DA6" si="20">CW6-DE6</f>
        <v>676010</v>
      </c>
      <c r="DB6" s="167"/>
      <c r="DC6" s="376">
        <f t="shared" si="13"/>
        <v>915322</v>
      </c>
      <c r="DD6" s="376"/>
      <c r="DE6" s="323">
        <v>1287132</v>
      </c>
      <c r="DF6" s="167"/>
      <c r="DG6" s="376">
        <v>1812281</v>
      </c>
      <c r="DH6" s="376"/>
      <c r="DI6" s="323">
        <f t="shared" si="14"/>
        <v>648184</v>
      </c>
      <c r="DJ6" s="167"/>
      <c r="DK6" s="376">
        <f t="shared" si="14"/>
        <v>872439</v>
      </c>
      <c r="DL6" s="376"/>
      <c r="DM6" s="323">
        <v>638948</v>
      </c>
      <c r="DN6" s="167"/>
      <c r="DO6" s="376">
        <f t="shared" si="15"/>
        <v>939842</v>
      </c>
      <c r="DP6" s="376"/>
      <c r="DQ6" s="323">
        <v>4039294</v>
      </c>
      <c r="DR6" s="167"/>
      <c r="DS6" s="376">
        <v>4127891</v>
      </c>
      <c r="DT6" s="376"/>
      <c r="DU6" s="323">
        <f t="shared" si="16"/>
        <v>1311691</v>
      </c>
      <c r="DV6" s="167"/>
      <c r="DW6" s="323">
        <f t="shared" si="17"/>
        <v>1386910</v>
      </c>
      <c r="DX6" s="13"/>
      <c r="DY6" s="323">
        <v>2727603</v>
      </c>
      <c r="DZ6" s="167"/>
      <c r="EA6" s="376">
        <v>2740981</v>
      </c>
      <c r="EB6" s="376"/>
      <c r="EC6" s="323">
        <f t="shared" si="18"/>
        <v>915322</v>
      </c>
      <c r="ED6" s="167"/>
      <c r="EE6" s="323">
        <f t="shared" si="18"/>
        <v>1098880</v>
      </c>
      <c r="EF6" s="13"/>
      <c r="EG6" s="323">
        <v>1812281</v>
      </c>
      <c r="EH6" s="167"/>
      <c r="EI6" s="376">
        <v>1642101</v>
      </c>
      <c r="EJ6" s="376"/>
      <c r="EK6" s="323">
        <v>872439</v>
      </c>
      <c r="EL6" s="167"/>
      <c r="EM6" s="376">
        <v>915557</v>
      </c>
      <c r="EN6" s="376"/>
      <c r="EO6" s="323">
        <v>939842</v>
      </c>
      <c r="EP6" s="167"/>
      <c r="EQ6" s="376">
        <v>726544</v>
      </c>
      <c r="ER6" s="376"/>
      <c r="ES6" s="355">
        <v>4127891</v>
      </c>
      <c r="EU6" s="376">
        <v>3837860</v>
      </c>
      <c r="EV6" s="357"/>
      <c r="EW6" s="355">
        <v>1386910</v>
      </c>
      <c r="EY6" s="376">
        <v>1393647</v>
      </c>
      <c r="EZ6" s="376"/>
      <c r="FA6" s="376">
        <v>2740981</v>
      </c>
      <c r="FB6" s="376"/>
      <c r="FC6" s="376">
        <v>2444213</v>
      </c>
      <c r="FD6" s="357"/>
      <c r="FE6" s="376">
        <v>1098880</v>
      </c>
      <c r="FF6" s="376"/>
      <c r="FG6" s="376">
        <v>883714</v>
      </c>
      <c r="FH6" s="376"/>
      <c r="FI6" s="357"/>
      <c r="FJ6" s="376">
        <v>1642101</v>
      </c>
      <c r="FK6" s="376"/>
      <c r="FL6" s="376">
        <v>1560499</v>
      </c>
      <c r="FM6" s="357"/>
      <c r="FN6" s="376">
        <v>915557</v>
      </c>
      <c r="FO6" s="376"/>
      <c r="FP6" s="376">
        <v>954016</v>
      </c>
      <c r="FQ6" s="357"/>
      <c r="FR6" s="376">
        <v>726544</v>
      </c>
      <c r="FS6" s="376"/>
      <c r="FT6" s="376">
        <v>606483</v>
      </c>
      <c r="FU6" s="376"/>
      <c r="FV6" s="376">
        <v>3672005</v>
      </c>
      <c r="FW6" s="376"/>
      <c r="FX6" s="376">
        <v>3474148</v>
      </c>
      <c r="FY6" s="357"/>
      <c r="FZ6" s="376">
        <v>1347284</v>
      </c>
      <c r="GB6" s="376">
        <v>1256787</v>
      </c>
      <c r="GC6" s="357"/>
      <c r="GD6" s="376">
        <v>2324721</v>
      </c>
      <c r="GE6" s="376"/>
      <c r="GF6" s="376">
        <v>2217361</v>
      </c>
      <c r="GG6" s="357"/>
      <c r="GH6" s="376">
        <v>844391</v>
      </c>
      <c r="GJ6" s="376">
        <v>722119</v>
      </c>
      <c r="GK6" s="13"/>
      <c r="GL6" s="167">
        <v>1480330</v>
      </c>
      <c r="GM6" s="167"/>
      <c r="GN6" s="167">
        <v>1495242</v>
      </c>
      <c r="GO6" s="189"/>
      <c r="GP6" s="167">
        <v>911630</v>
      </c>
      <c r="GR6" s="167">
        <v>859154</v>
      </c>
      <c r="GS6" s="189"/>
      <c r="GT6" s="191">
        <v>568700</v>
      </c>
      <c r="GU6" s="167"/>
      <c r="GV6" s="167">
        <v>636088</v>
      </c>
      <c r="GW6" s="14"/>
      <c r="GX6" s="191">
        <v>3474148</v>
      </c>
      <c r="GY6" s="167"/>
      <c r="GZ6" s="167">
        <v>3816811</v>
      </c>
      <c r="HA6" s="189"/>
      <c r="HB6" s="191">
        <v>1256787</v>
      </c>
      <c r="HC6" s="167"/>
      <c r="HD6" s="167">
        <v>1366994</v>
      </c>
      <c r="HE6" s="189"/>
      <c r="HF6" s="191">
        <f>HJ6-HN6</f>
        <v>722119</v>
      </c>
      <c r="HG6" s="167"/>
      <c r="HH6" s="167">
        <f>HL6-HP6</f>
        <v>997687</v>
      </c>
      <c r="HI6" s="189"/>
      <c r="HJ6" s="191">
        <v>2217361</v>
      </c>
      <c r="HK6" s="167"/>
      <c r="HL6" s="167">
        <v>2449817</v>
      </c>
      <c r="HM6" s="189"/>
      <c r="HN6" s="191">
        <v>1495242</v>
      </c>
      <c r="HO6" s="167"/>
      <c r="HP6" s="167">
        <v>1452130</v>
      </c>
      <c r="HQ6" s="189"/>
      <c r="HR6" s="191">
        <f>HN6-HV6</f>
        <v>859154</v>
      </c>
      <c r="HS6" s="167"/>
      <c r="HT6" s="167">
        <f>HP6-HX6</f>
        <v>798407</v>
      </c>
      <c r="HU6" s="189"/>
      <c r="HV6" s="191">
        <v>636088</v>
      </c>
      <c r="HW6" s="167"/>
      <c r="HX6" s="167">
        <v>653723</v>
      </c>
      <c r="HY6" s="189"/>
      <c r="HZ6" s="191">
        <v>3816811</v>
      </c>
      <c r="IA6" s="167"/>
      <c r="IB6" s="167">
        <v>4175470</v>
      </c>
      <c r="IC6" s="189"/>
      <c r="ID6" s="189"/>
      <c r="IE6" s="191">
        <v>1366994</v>
      </c>
      <c r="IF6" s="167"/>
      <c r="IG6" s="167">
        <v>1396598</v>
      </c>
      <c r="IH6" s="191"/>
      <c r="II6" s="191">
        <v>2449817</v>
      </c>
      <c r="IJ6" s="167"/>
      <c r="IK6" s="167">
        <v>2778872</v>
      </c>
      <c r="IL6" s="189"/>
      <c r="IM6" s="189"/>
      <c r="IN6" s="191">
        <v>997687</v>
      </c>
      <c r="IO6" s="167"/>
      <c r="IP6" s="167">
        <v>1008145</v>
      </c>
      <c r="IQ6" s="189"/>
      <c r="IR6" s="189"/>
      <c r="IS6" s="191">
        <v>1452130</v>
      </c>
      <c r="IT6" s="167"/>
      <c r="IU6" s="167">
        <v>1770727</v>
      </c>
      <c r="IV6" s="189"/>
      <c r="IW6" s="189"/>
      <c r="IX6" s="191">
        <v>798407</v>
      </c>
      <c r="IY6" s="167"/>
      <c r="IZ6" s="167">
        <v>979049</v>
      </c>
      <c r="JA6" s="189"/>
      <c r="JB6" s="191">
        <v>653723</v>
      </c>
      <c r="JC6" s="167"/>
      <c r="JD6" s="167">
        <v>791678</v>
      </c>
      <c r="JE6" s="189"/>
      <c r="JF6" s="167">
        <v>4175470</v>
      </c>
      <c r="JG6" s="189"/>
      <c r="JH6" s="167">
        <v>3089592</v>
      </c>
      <c r="JI6" s="189"/>
      <c r="JJ6" s="167">
        <v>1396598</v>
      </c>
      <c r="JK6" s="189"/>
      <c r="JL6" s="167">
        <v>1079388</v>
      </c>
      <c r="JM6" s="189"/>
      <c r="JN6" s="167">
        <v>2778872</v>
      </c>
      <c r="JO6" s="167"/>
      <c r="JP6" s="167">
        <v>2010204</v>
      </c>
      <c r="JQ6" s="167"/>
      <c r="JR6" s="167">
        <v>1008145</v>
      </c>
      <c r="JS6" s="167"/>
      <c r="JT6" s="167">
        <v>760127</v>
      </c>
      <c r="JU6" s="167"/>
      <c r="JV6" s="167">
        <v>1770727</v>
      </c>
      <c r="JW6" s="167"/>
      <c r="JX6" s="167">
        <v>1250077</v>
      </c>
      <c r="JY6" s="167"/>
      <c r="JZ6" s="167">
        <v>979049</v>
      </c>
      <c r="KA6" s="167"/>
      <c r="KB6" s="167">
        <v>684767</v>
      </c>
      <c r="KC6" s="167"/>
      <c r="KD6" s="167">
        <v>791678</v>
      </c>
      <c r="KE6" s="167"/>
      <c r="KF6" s="167">
        <v>565310</v>
      </c>
      <c r="KG6" s="167"/>
      <c r="KH6" s="167">
        <v>3089592</v>
      </c>
      <c r="KI6" s="194"/>
      <c r="KJ6" s="167">
        <v>3779555</v>
      </c>
      <c r="KK6" s="194"/>
      <c r="KL6" s="167">
        <v>1079388</v>
      </c>
      <c r="KM6" s="194"/>
      <c r="KN6" s="167">
        <v>1411162</v>
      </c>
      <c r="KO6" s="167"/>
      <c r="KP6" s="167">
        <v>2010204</v>
      </c>
      <c r="KQ6" s="157"/>
      <c r="KR6" s="167">
        <v>2368393</v>
      </c>
      <c r="KS6" s="157"/>
      <c r="KT6" s="167">
        <v>760127</v>
      </c>
      <c r="KU6" s="157"/>
      <c r="KV6" s="167">
        <v>1018451</v>
      </c>
      <c r="KW6" s="157"/>
      <c r="KX6" s="167">
        <v>1250077</v>
      </c>
      <c r="KY6" s="157"/>
      <c r="KZ6" s="167">
        <v>1349942</v>
      </c>
      <c r="LA6" s="157"/>
      <c r="LB6" s="167">
        <v>684767</v>
      </c>
      <c r="LC6" s="157"/>
      <c r="LD6" s="167">
        <v>809087</v>
      </c>
      <c r="LE6" s="157"/>
      <c r="LF6" s="167">
        <v>565310</v>
      </c>
      <c r="LG6" s="157"/>
      <c r="LH6" s="167">
        <v>540855</v>
      </c>
      <c r="LI6" s="157"/>
      <c r="LJ6" s="157"/>
      <c r="LK6" s="157"/>
      <c r="LL6" s="157"/>
      <c r="LM6" s="157"/>
      <c r="LN6" s="157"/>
      <c r="LO6" s="157"/>
      <c r="LP6" s="157"/>
      <c r="LQ6" s="157"/>
      <c r="LR6" s="157"/>
      <c r="LS6" s="157"/>
      <c r="LT6" s="157"/>
      <c r="LU6" s="157"/>
      <c r="LV6" s="157"/>
      <c r="LW6" s="157"/>
      <c r="LX6" s="157"/>
      <c r="LY6" s="157"/>
      <c r="LZ6" s="157"/>
      <c r="MA6" s="157"/>
      <c r="MB6" s="157"/>
      <c r="MC6" s="157"/>
      <c r="MD6" s="157"/>
      <c r="ME6" s="157"/>
      <c r="MF6" s="157"/>
      <c r="MG6" s="157"/>
      <c r="MH6" s="157"/>
      <c r="MI6" s="157"/>
      <c r="MJ6" s="157"/>
      <c r="MK6" s="157"/>
      <c r="ML6" s="157"/>
      <c r="MM6" s="157"/>
      <c r="MN6" s="157"/>
      <c r="MO6" s="157"/>
      <c r="MP6" s="157"/>
      <c r="MQ6" s="157"/>
      <c r="MR6" s="157"/>
      <c r="MS6" s="157"/>
      <c r="MT6" s="157"/>
      <c r="MU6" s="157"/>
      <c r="MV6" s="157"/>
      <c r="MW6" s="157"/>
      <c r="MX6" s="157"/>
      <c r="MY6" s="157"/>
      <c r="MZ6" s="157"/>
      <c r="NA6" s="157"/>
      <c r="NB6" s="157"/>
      <c r="NC6" s="157"/>
      <c r="ND6" s="157"/>
      <c r="NE6" s="157"/>
      <c r="NF6" s="157"/>
      <c r="NG6" s="157"/>
      <c r="NH6" s="157"/>
      <c r="NI6" s="157"/>
      <c r="NJ6" s="157"/>
      <c r="NK6" s="157"/>
      <c r="NL6" s="157"/>
      <c r="NM6" s="157"/>
      <c r="NN6" s="157"/>
      <c r="NO6" s="157"/>
      <c r="NP6" s="157"/>
      <c r="NQ6" s="157"/>
      <c r="NR6" s="157"/>
      <c r="NS6" s="157"/>
      <c r="NT6" s="157"/>
      <c r="NU6" s="157"/>
      <c r="NV6" s="157"/>
      <c r="NW6" s="157"/>
      <c r="NX6" s="157"/>
      <c r="NY6" s="157"/>
      <c r="NZ6" s="157"/>
      <c r="OA6" s="157"/>
      <c r="OB6" s="157"/>
      <c r="OC6" s="157"/>
      <c r="OD6" s="157"/>
      <c r="OE6" s="157"/>
      <c r="OF6" s="157"/>
      <c r="OG6" s="157"/>
      <c r="OH6" s="157"/>
    </row>
    <row r="7" spans="1:398">
      <c r="A7" s="16" t="s">
        <v>50</v>
      </c>
      <c r="B7" s="17"/>
      <c r="C7" s="196"/>
      <c r="D7" s="380">
        <v>1.6</v>
      </c>
      <c r="E7" s="196"/>
      <c r="F7" s="139">
        <f t="shared" si="19"/>
        <v>2.2000000000000002</v>
      </c>
      <c r="G7" s="142"/>
      <c r="H7" s="196"/>
      <c r="I7" s="380"/>
      <c r="J7" s="196"/>
      <c r="K7" s="139">
        <f>AK7</f>
        <v>2.11</v>
      </c>
      <c r="L7" s="142"/>
      <c r="M7" s="673"/>
      <c r="N7" s="672"/>
      <c r="O7" s="673">
        <f>AO7</f>
        <v>2.11</v>
      </c>
      <c r="P7" s="142"/>
      <c r="Q7" s="673">
        <v>2.4</v>
      </c>
      <c r="R7" s="672"/>
      <c r="S7" s="673">
        <f>AS7</f>
        <v>1.61</v>
      </c>
      <c r="T7" s="142"/>
      <c r="U7" s="673">
        <f>Q7</f>
        <v>2.4</v>
      </c>
      <c r="V7" s="672"/>
      <c r="W7" s="673">
        <f>S7</f>
        <v>1.61</v>
      </c>
      <c r="X7" s="142"/>
      <c r="Y7" s="673">
        <v>2.1</v>
      </c>
      <c r="Z7" s="672"/>
      <c r="AA7" s="673">
        <f>BA7</f>
        <v>2.04</v>
      </c>
      <c r="AB7" s="142"/>
      <c r="AC7" s="673">
        <f>Y7</f>
        <v>2.1</v>
      </c>
      <c r="AD7" s="672"/>
      <c r="AE7" s="673">
        <f>AA7</f>
        <v>2.04</v>
      </c>
      <c r="AF7" s="672"/>
      <c r="AG7" s="673">
        <v>2.2000000000000002</v>
      </c>
      <c r="AH7" s="672"/>
      <c r="AI7" s="674">
        <v>3.2</v>
      </c>
      <c r="AJ7" s="196"/>
      <c r="AK7" s="380">
        <v>2.11</v>
      </c>
      <c r="AL7" s="196"/>
      <c r="AM7" s="139">
        <f t="shared" si="1"/>
        <v>2.93</v>
      </c>
      <c r="AN7" s="142"/>
      <c r="AO7" s="380">
        <v>2.11</v>
      </c>
      <c r="AP7" s="196"/>
      <c r="AQ7" s="139">
        <f t="shared" si="3"/>
        <v>2.93</v>
      </c>
      <c r="AR7" s="142"/>
      <c r="AS7" s="380">
        <v>1.61</v>
      </c>
      <c r="AT7" s="196"/>
      <c r="AU7" s="139">
        <f t="shared" si="4"/>
        <v>3.33</v>
      </c>
      <c r="AV7" s="142"/>
      <c r="AW7" s="380">
        <v>1.61</v>
      </c>
      <c r="AX7" s="196"/>
      <c r="AY7" s="139">
        <f t="shared" si="5"/>
        <v>3.33</v>
      </c>
      <c r="AZ7" s="142"/>
      <c r="BA7" s="380">
        <v>2.04</v>
      </c>
      <c r="BB7" s="196"/>
      <c r="BC7" s="139">
        <f>CC7</f>
        <v>2.86</v>
      </c>
      <c r="BD7" s="142"/>
      <c r="BE7" s="380">
        <f>BA7</f>
        <v>2.04</v>
      </c>
      <c r="BF7" s="196"/>
      <c r="BG7" s="139">
        <f>BC7</f>
        <v>2.86</v>
      </c>
      <c r="BH7" s="142"/>
      <c r="BI7" s="380">
        <v>3.23</v>
      </c>
      <c r="BJ7" s="196"/>
      <c r="BK7" s="139">
        <f>CG7</f>
        <v>2.59</v>
      </c>
      <c r="BL7" s="142"/>
      <c r="BM7" s="380">
        <v>2.93</v>
      </c>
      <c r="BN7" s="196"/>
      <c r="BO7" s="139">
        <f>CO7</f>
        <v>2.44</v>
      </c>
      <c r="BP7" s="142"/>
      <c r="BQ7" s="380">
        <f>BM7</f>
        <v>2.93</v>
      </c>
      <c r="BR7" s="196"/>
      <c r="BS7" s="380">
        <f>BO7</f>
        <v>2.44</v>
      </c>
      <c r="BT7" s="142"/>
      <c r="BU7" s="380">
        <v>3.33</v>
      </c>
      <c r="BV7" s="196"/>
      <c r="BW7" s="139">
        <f>CW7</f>
        <v>1.97</v>
      </c>
      <c r="BX7" s="142"/>
      <c r="BY7" s="380">
        <f>BU7</f>
        <v>3.33</v>
      </c>
      <c r="BZ7" s="196"/>
      <c r="CA7" s="380">
        <f>BW7</f>
        <v>1.97</v>
      </c>
      <c r="CB7" s="142"/>
      <c r="CC7" s="380">
        <v>2.86</v>
      </c>
      <c r="CD7" s="196"/>
      <c r="CE7" s="139">
        <f>DE7</f>
        <v>2.06</v>
      </c>
      <c r="CF7" s="142"/>
      <c r="CG7" s="380">
        <v>2.59</v>
      </c>
      <c r="CH7" s="196"/>
      <c r="CI7" s="139">
        <f>DI7</f>
        <v>2.06</v>
      </c>
      <c r="CJ7" s="142"/>
      <c r="CK7" s="380">
        <v>2.59</v>
      </c>
      <c r="CL7" s="196"/>
      <c r="CM7" s="139">
        <f>DM7</f>
        <v>1.96</v>
      </c>
      <c r="CN7" s="142"/>
      <c r="CO7" s="380">
        <v>2.44</v>
      </c>
      <c r="CP7" s="196"/>
      <c r="CQ7" s="139">
        <f>DQ7</f>
        <v>2.5099999999999998</v>
      </c>
      <c r="CR7" s="142"/>
      <c r="CS7" s="380">
        <f>CO7</f>
        <v>2.44</v>
      </c>
      <c r="CT7" s="196"/>
      <c r="CU7" s="139">
        <f>CQ7</f>
        <v>2.5099999999999998</v>
      </c>
      <c r="CV7" s="142"/>
      <c r="CW7" s="380">
        <v>1.97</v>
      </c>
      <c r="CX7" s="196"/>
      <c r="CY7" s="139">
        <f>DY7</f>
        <v>2.5299999999999998</v>
      </c>
      <c r="CZ7" s="142"/>
      <c r="DA7" s="380">
        <f>CW7</f>
        <v>1.97</v>
      </c>
      <c r="DB7" s="196"/>
      <c r="DC7" s="139">
        <f>CY7</f>
        <v>2.5299999999999998</v>
      </c>
      <c r="DD7" s="142"/>
      <c r="DE7" s="380">
        <v>2.06</v>
      </c>
      <c r="DF7" s="196"/>
      <c r="DG7" s="139">
        <v>2.66</v>
      </c>
      <c r="DH7" s="142"/>
      <c r="DI7" s="380">
        <f>DE7</f>
        <v>2.06</v>
      </c>
      <c r="DJ7" s="196"/>
      <c r="DK7" s="139">
        <f>DG7</f>
        <v>2.66</v>
      </c>
      <c r="DL7" s="142"/>
      <c r="DM7" s="380">
        <v>1.96</v>
      </c>
      <c r="DN7" s="196"/>
      <c r="DO7" s="139">
        <f t="shared" si="15"/>
        <v>3.27</v>
      </c>
      <c r="DP7" s="142"/>
      <c r="DQ7" s="380">
        <v>2.5099999999999998</v>
      </c>
      <c r="DR7" s="196"/>
      <c r="DS7" s="139">
        <f>ES7</f>
        <v>2.81</v>
      </c>
      <c r="DT7" s="142"/>
      <c r="DU7" s="380">
        <f>DQ7</f>
        <v>2.5099999999999998</v>
      </c>
      <c r="DV7" s="196"/>
      <c r="DW7" s="380">
        <f>DS7</f>
        <v>2.81</v>
      </c>
      <c r="DX7" s="17"/>
      <c r="DY7" s="380">
        <v>2.5299999999999998</v>
      </c>
      <c r="DZ7" s="196"/>
      <c r="EA7" s="139">
        <f>FA7</f>
        <v>2.83</v>
      </c>
      <c r="EB7" s="142"/>
      <c r="EC7" s="380">
        <f>DY7</f>
        <v>2.5299999999999998</v>
      </c>
      <c r="ED7" s="196"/>
      <c r="EE7" s="380">
        <f>EA7</f>
        <v>2.83</v>
      </c>
      <c r="EF7" s="17"/>
      <c r="EG7" s="380">
        <v>2.66</v>
      </c>
      <c r="EH7" s="196"/>
      <c r="EI7" s="139">
        <v>2.6</v>
      </c>
      <c r="EJ7" s="142"/>
      <c r="EK7" s="380">
        <f>EG7</f>
        <v>2.66</v>
      </c>
      <c r="EL7" s="196"/>
      <c r="EM7" s="139">
        <f>EI7</f>
        <v>2.6</v>
      </c>
      <c r="EN7" s="142"/>
      <c r="EO7" s="380">
        <v>3.27</v>
      </c>
      <c r="EP7" s="196"/>
      <c r="EQ7" s="139">
        <v>2.74</v>
      </c>
      <c r="ER7" s="142"/>
      <c r="ES7" s="392">
        <v>2.81</v>
      </c>
      <c r="ET7" s="377"/>
      <c r="EU7" s="139">
        <v>2.4500000000000002</v>
      </c>
      <c r="EV7" s="357"/>
      <c r="EW7" s="392">
        <v>2.81</v>
      </c>
      <c r="EX7" s="377"/>
      <c r="EY7" s="139">
        <v>2.4500000000000002</v>
      </c>
      <c r="EZ7" s="142"/>
      <c r="FA7" s="477">
        <v>2.83</v>
      </c>
      <c r="FB7" s="377"/>
      <c r="FC7" s="139">
        <v>2.2400000000000002</v>
      </c>
      <c r="FD7" s="357"/>
      <c r="FE7" s="477">
        <v>2.83</v>
      </c>
      <c r="FF7" s="377"/>
      <c r="FG7" s="139">
        <v>2.2400000000000002</v>
      </c>
      <c r="FH7" s="142"/>
      <c r="FI7" s="357"/>
      <c r="FJ7" s="477">
        <v>2.6</v>
      </c>
      <c r="FK7" s="377"/>
      <c r="FL7" s="139">
        <v>2.2999999999999998</v>
      </c>
      <c r="FM7" s="357"/>
      <c r="FN7" s="477">
        <v>2.6</v>
      </c>
      <c r="FO7" s="377"/>
      <c r="FP7" s="139">
        <v>2.2999999999999998</v>
      </c>
      <c r="FQ7" s="357"/>
      <c r="FR7" s="477">
        <v>2.74</v>
      </c>
      <c r="FS7" s="377"/>
      <c r="FT7" s="139">
        <v>2.2799999999999998</v>
      </c>
      <c r="FU7" s="142"/>
      <c r="FV7" s="139">
        <v>2.54</v>
      </c>
      <c r="FW7" s="377"/>
      <c r="FX7" s="381">
        <v>2.2400000000000002</v>
      </c>
      <c r="FY7" s="357"/>
      <c r="FZ7" s="139">
        <v>2.54</v>
      </c>
      <c r="GA7" s="377"/>
      <c r="GB7" s="139">
        <v>2.2400000000000002</v>
      </c>
      <c r="GC7" s="357"/>
      <c r="GD7" s="139">
        <v>2.2400000000000002</v>
      </c>
      <c r="GE7" s="377"/>
      <c r="GF7" s="139">
        <v>2.11</v>
      </c>
      <c r="GG7" s="357"/>
      <c r="GH7" s="139">
        <v>2.2400000000000002</v>
      </c>
      <c r="GI7" s="377"/>
      <c r="GJ7" s="139">
        <v>2.11</v>
      </c>
      <c r="GK7" s="13"/>
      <c r="GL7" s="197">
        <v>2.2999999999999998</v>
      </c>
      <c r="GM7" s="196"/>
      <c r="GN7" s="197">
        <v>2.17</v>
      </c>
      <c r="GO7" s="189"/>
      <c r="GP7" s="197">
        <v>2.2999999999999998</v>
      </c>
      <c r="GQ7" s="196"/>
      <c r="GR7" s="197">
        <v>2.17</v>
      </c>
      <c r="GS7" s="189"/>
      <c r="GT7" s="195">
        <v>2.2799999999999998</v>
      </c>
      <c r="GU7" s="196"/>
      <c r="GV7" s="197">
        <v>2.31</v>
      </c>
      <c r="GW7" s="15"/>
      <c r="GX7" s="195">
        <v>2.27</v>
      </c>
      <c r="GY7" s="196"/>
      <c r="GZ7" s="197">
        <v>2.31</v>
      </c>
      <c r="HA7" s="198"/>
      <c r="HB7" s="195">
        <v>2.27</v>
      </c>
      <c r="HC7" s="196"/>
      <c r="HD7" s="197">
        <v>2.31</v>
      </c>
      <c r="HE7" s="189"/>
      <c r="HF7" s="195">
        <f>HJ7</f>
        <v>2.1098068375608405</v>
      </c>
      <c r="HG7" s="196"/>
      <c r="HH7" s="197">
        <f>HL7</f>
        <v>2.64</v>
      </c>
      <c r="HI7" s="198"/>
      <c r="HJ7" s="195">
        <v>2.1098068375608405</v>
      </c>
      <c r="HK7" s="196"/>
      <c r="HL7" s="197">
        <v>2.64</v>
      </c>
      <c r="HM7" s="189"/>
      <c r="HN7" s="195">
        <v>2.17</v>
      </c>
      <c r="HO7" s="196"/>
      <c r="HP7" s="197">
        <f>IS7</f>
        <v>2.577</v>
      </c>
      <c r="HQ7" s="198"/>
      <c r="HR7" s="195">
        <f>HN7</f>
        <v>2.17</v>
      </c>
      <c r="HS7" s="196"/>
      <c r="HT7" s="197">
        <f>HP7</f>
        <v>2.577</v>
      </c>
      <c r="HU7" s="198"/>
      <c r="HV7" s="195">
        <v>2.31</v>
      </c>
      <c r="HW7" s="196"/>
      <c r="HX7" s="197">
        <v>2.3199999999999998</v>
      </c>
      <c r="HY7" s="198"/>
      <c r="HZ7" s="195">
        <v>2.3199999999999998</v>
      </c>
      <c r="IA7" s="196"/>
      <c r="IB7" s="197">
        <v>2.2000000000000002</v>
      </c>
      <c r="IC7" s="198"/>
      <c r="ID7" s="198"/>
      <c r="IE7" s="195">
        <v>2.3199999999999998</v>
      </c>
      <c r="IF7" s="196"/>
      <c r="IG7" s="197">
        <v>2.2000000000000002</v>
      </c>
      <c r="IH7" s="199"/>
      <c r="II7" s="195">
        <v>2.64</v>
      </c>
      <c r="IJ7" s="196"/>
      <c r="IK7" s="197">
        <v>1.97</v>
      </c>
      <c r="IL7" s="198"/>
      <c r="IM7" s="198"/>
      <c r="IN7" s="195">
        <v>2.64</v>
      </c>
      <c r="IO7" s="196"/>
      <c r="IP7" s="197">
        <v>1.97</v>
      </c>
      <c r="IQ7" s="198"/>
      <c r="IR7" s="198"/>
      <c r="IS7" s="195">
        <v>2.577</v>
      </c>
      <c r="IT7" s="196"/>
      <c r="IU7" s="197">
        <v>1.97</v>
      </c>
      <c r="IV7" s="198"/>
      <c r="IW7" s="198"/>
      <c r="IX7" s="195">
        <v>2.577</v>
      </c>
      <c r="IY7" s="196"/>
      <c r="IZ7" s="197">
        <v>1.97</v>
      </c>
      <c r="JA7" s="198"/>
      <c r="JB7" s="195">
        <v>2.5</v>
      </c>
      <c r="JC7" s="196"/>
      <c r="JD7" s="197">
        <v>1.91</v>
      </c>
      <c r="JE7" s="198"/>
      <c r="JF7" s="197">
        <v>2.2000000000000002</v>
      </c>
      <c r="JG7" s="194"/>
      <c r="JH7" s="197">
        <v>1.8</v>
      </c>
      <c r="JI7" s="189"/>
      <c r="JJ7" s="197">
        <v>2.2000000000000002</v>
      </c>
      <c r="JK7" s="189"/>
      <c r="JL7" s="197">
        <v>1.8</v>
      </c>
      <c r="JM7" s="189"/>
      <c r="JN7" s="197">
        <v>1.97</v>
      </c>
      <c r="JO7" s="196"/>
      <c r="JP7" s="197">
        <v>1.73</v>
      </c>
      <c r="JQ7" s="196"/>
      <c r="JR7" s="197">
        <v>1.97</v>
      </c>
      <c r="JS7" s="196"/>
      <c r="JT7" s="197">
        <v>1.73</v>
      </c>
      <c r="JU7" s="196"/>
      <c r="JV7" s="197">
        <v>1.9349940723994377</v>
      </c>
      <c r="JW7" s="196"/>
      <c r="JX7" s="197">
        <v>1.68</v>
      </c>
      <c r="JY7" s="196"/>
      <c r="JZ7" s="197">
        <v>1.9349940723994377</v>
      </c>
      <c r="KA7" s="196"/>
      <c r="KB7" s="197">
        <v>1.68</v>
      </c>
      <c r="KC7" s="196"/>
      <c r="KD7" s="197">
        <v>1.91</v>
      </c>
      <c r="KE7" s="196"/>
      <c r="KF7" s="197">
        <v>1.68</v>
      </c>
      <c r="KG7" s="196"/>
      <c r="KH7" s="197">
        <v>1.85</v>
      </c>
      <c r="KI7" s="196"/>
      <c r="KJ7" s="197">
        <v>1.43</v>
      </c>
      <c r="KK7" s="196"/>
      <c r="KL7" s="197">
        <v>1.85</v>
      </c>
      <c r="KM7" s="196"/>
      <c r="KN7" s="197">
        <v>1.43</v>
      </c>
      <c r="KO7" s="194"/>
      <c r="KP7" s="197">
        <v>1.7279887062185715</v>
      </c>
      <c r="KQ7" s="157"/>
      <c r="KR7" s="197">
        <v>1.1851646020713575</v>
      </c>
      <c r="KS7" s="157"/>
      <c r="KT7" s="197">
        <v>1.7279887062185715</v>
      </c>
      <c r="KU7" s="157"/>
      <c r="KV7" s="197">
        <v>1.1851646020713575</v>
      </c>
      <c r="KW7" s="157"/>
      <c r="KX7" s="197">
        <v>1.68</v>
      </c>
      <c r="KY7" s="157"/>
      <c r="KZ7" s="197">
        <v>1.31</v>
      </c>
      <c r="LA7" s="157"/>
      <c r="LB7" s="197">
        <v>1.68</v>
      </c>
      <c r="LC7" s="157"/>
      <c r="LD7" s="197">
        <v>1.31</v>
      </c>
      <c r="LE7" s="157"/>
      <c r="LF7" s="197">
        <v>1.68</v>
      </c>
      <c r="LG7" s="157"/>
      <c r="LH7" s="197">
        <v>1.33</v>
      </c>
      <c r="LI7" s="157"/>
      <c r="LJ7" s="157"/>
      <c r="LK7" s="157"/>
      <c r="LL7" s="157"/>
      <c r="LM7" s="157"/>
      <c r="LN7" s="157"/>
      <c r="LO7" s="157"/>
      <c r="LP7" s="157"/>
      <c r="LQ7" s="157"/>
      <c r="LR7" s="157"/>
      <c r="LS7" s="157"/>
      <c r="LT7" s="157"/>
      <c r="LU7" s="157"/>
      <c r="LV7" s="157"/>
      <c r="LW7" s="157"/>
      <c r="LX7" s="157"/>
      <c r="LY7" s="157"/>
      <c r="LZ7" s="157"/>
      <c r="MA7" s="157"/>
      <c r="MB7" s="157"/>
      <c r="MC7" s="157"/>
      <c r="MD7" s="157"/>
      <c r="ME7" s="157"/>
      <c r="MF7" s="157"/>
      <c r="MG7" s="157"/>
      <c r="MH7" s="157"/>
      <c r="MI7" s="157"/>
      <c r="MJ7" s="157"/>
      <c r="MK7" s="157"/>
      <c r="ML7" s="157"/>
      <c r="MM7" s="157"/>
      <c r="MN7" s="157"/>
      <c r="MO7" s="157"/>
      <c r="MP7" s="157"/>
      <c r="MQ7" s="157"/>
      <c r="MR7" s="157"/>
      <c r="MS7" s="157"/>
      <c r="MT7" s="157"/>
      <c r="MU7" s="157"/>
      <c r="MV7" s="157"/>
      <c r="MW7" s="157"/>
      <c r="MX7" s="157"/>
      <c r="MY7" s="157"/>
      <c r="MZ7" s="157"/>
      <c r="NA7" s="157"/>
      <c r="NB7" s="157"/>
      <c r="NC7" s="157"/>
      <c r="ND7" s="157"/>
      <c r="NE7" s="157"/>
      <c r="NF7" s="157"/>
      <c r="NG7" s="157"/>
      <c r="NH7" s="157"/>
      <c r="NI7" s="157"/>
      <c r="NJ7" s="157"/>
      <c r="NK7" s="157"/>
      <c r="NL7" s="157"/>
      <c r="NM7" s="157"/>
      <c r="NN7" s="157"/>
      <c r="NO7" s="157"/>
      <c r="NP7" s="157"/>
      <c r="NQ7" s="157"/>
      <c r="NR7" s="157"/>
      <c r="NS7" s="157"/>
      <c r="NT7" s="157"/>
      <c r="NU7" s="157"/>
      <c r="NV7" s="157"/>
      <c r="NW7" s="157"/>
      <c r="NX7" s="157"/>
      <c r="NY7" s="157"/>
      <c r="NZ7" s="157"/>
      <c r="OA7" s="157"/>
      <c r="OB7" s="157"/>
      <c r="OC7" s="157"/>
      <c r="OD7" s="157"/>
      <c r="OE7" s="157"/>
      <c r="OF7" s="157"/>
      <c r="OG7" s="157"/>
      <c r="OH7" s="157"/>
    </row>
    <row r="8" spans="1:398">
      <c r="A8" s="7"/>
      <c r="B8" s="13"/>
      <c r="C8" s="196"/>
      <c r="D8" s="82"/>
      <c r="E8" s="196"/>
      <c r="F8" s="357"/>
      <c r="G8" s="357"/>
      <c r="H8" s="196"/>
      <c r="I8" s="82"/>
      <c r="J8" s="196"/>
      <c r="K8" s="357"/>
      <c r="L8" s="357"/>
      <c r="M8" s="82"/>
      <c r="N8" s="196"/>
      <c r="O8" s="357"/>
      <c r="P8" s="357"/>
      <c r="Q8" s="82"/>
      <c r="R8" s="196"/>
      <c r="S8" s="357"/>
      <c r="T8" s="357"/>
      <c r="U8" s="82"/>
      <c r="V8" s="196"/>
      <c r="W8" s="82"/>
      <c r="X8" s="357"/>
      <c r="Y8" s="82"/>
      <c r="Z8" s="196"/>
      <c r="AA8" s="357"/>
      <c r="AB8" s="357"/>
      <c r="AC8" s="82"/>
      <c r="AD8" s="196"/>
      <c r="AE8" s="82"/>
      <c r="AF8" s="196"/>
      <c r="AG8" s="82"/>
      <c r="AH8" s="196"/>
      <c r="AI8" s="357"/>
      <c r="AJ8" s="196"/>
      <c r="AK8" s="82"/>
      <c r="AL8" s="196"/>
      <c r="AM8" s="357"/>
      <c r="AN8" s="357"/>
      <c r="AO8" s="82"/>
      <c r="AP8" s="196"/>
      <c r="AQ8" s="357"/>
      <c r="AR8" s="357"/>
      <c r="AS8" s="82"/>
      <c r="AT8" s="196"/>
      <c r="AU8" s="357"/>
      <c r="AV8" s="357"/>
      <c r="AW8" s="82"/>
      <c r="AX8" s="196"/>
      <c r="AY8" s="357"/>
      <c r="AZ8" s="357"/>
      <c r="BA8" s="82"/>
      <c r="BB8" s="196"/>
      <c r="BC8" s="357"/>
      <c r="BD8" s="357"/>
      <c r="BE8" s="82"/>
      <c r="BF8" s="196"/>
      <c r="BG8" s="357"/>
      <c r="BH8" s="357"/>
      <c r="BI8" s="82"/>
      <c r="BJ8" s="196"/>
      <c r="BK8" s="357"/>
      <c r="BL8" s="357"/>
      <c r="BM8" s="82"/>
      <c r="BN8" s="196"/>
      <c r="BO8" s="357"/>
      <c r="BP8" s="357"/>
      <c r="BQ8" s="82"/>
      <c r="BR8" s="196"/>
      <c r="BS8" s="357"/>
      <c r="BT8" s="357"/>
      <c r="BU8" s="82"/>
      <c r="BV8" s="196"/>
      <c r="BW8" s="357"/>
      <c r="BX8" s="357"/>
      <c r="BY8" s="82"/>
      <c r="BZ8" s="196"/>
      <c r="CA8" s="357"/>
      <c r="CB8" s="357"/>
      <c r="CC8" s="82"/>
      <c r="CD8" s="196"/>
      <c r="CE8" s="357"/>
      <c r="CF8" s="357"/>
      <c r="CG8" s="82"/>
      <c r="CH8" s="196"/>
      <c r="CI8" s="357"/>
      <c r="CJ8" s="357"/>
      <c r="CK8" s="82"/>
      <c r="CL8" s="196"/>
      <c r="CM8" s="357"/>
      <c r="CN8" s="357"/>
      <c r="CO8" s="82"/>
      <c r="CP8" s="196"/>
      <c r="CQ8" s="357"/>
      <c r="CR8" s="357"/>
      <c r="CS8" s="82"/>
      <c r="CT8" s="196"/>
      <c r="CU8" s="357"/>
      <c r="CV8" s="357"/>
      <c r="CW8" s="82"/>
      <c r="CX8" s="196"/>
      <c r="CY8" s="357"/>
      <c r="CZ8" s="357"/>
      <c r="DA8" s="82"/>
      <c r="DB8" s="196"/>
      <c r="DC8" s="357"/>
      <c r="DD8" s="357"/>
      <c r="DE8" s="82"/>
      <c r="DF8" s="196"/>
      <c r="DG8" s="357"/>
      <c r="DH8" s="357"/>
      <c r="DI8" s="82"/>
      <c r="DJ8" s="196"/>
      <c r="DK8" s="357"/>
      <c r="DL8" s="357"/>
      <c r="DM8" s="82"/>
      <c r="DN8" s="196"/>
      <c r="DO8" s="357"/>
      <c r="DP8" s="357"/>
      <c r="DQ8" s="82"/>
      <c r="DR8" s="196"/>
      <c r="DS8" s="357"/>
      <c r="DT8" s="357"/>
      <c r="DU8" s="82"/>
      <c r="DV8" s="196"/>
      <c r="DW8" s="357"/>
      <c r="DX8" s="13"/>
      <c r="DY8" s="82"/>
      <c r="DZ8" s="196"/>
      <c r="EA8" s="357"/>
      <c r="EB8" s="357"/>
      <c r="EC8" s="82"/>
      <c r="ED8" s="196"/>
      <c r="EE8" s="357"/>
      <c r="EF8" s="13"/>
      <c r="EG8" s="82"/>
      <c r="EH8" s="196"/>
      <c r="EI8" s="357"/>
      <c r="EJ8" s="357"/>
      <c r="EK8" s="82"/>
      <c r="EL8" s="196"/>
      <c r="EM8" s="357"/>
      <c r="EN8" s="357"/>
      <c r="EO8" s="82"/>
      <c r="EP8" s="196"/>
      <c r="EQ8" s="357"/>
      <c r="ER8" s="357"/>
      <c r="ES8" s="357"/>
      <c r="ET8" s="377"/>
      <c r="EU8" s="357"/>
      <c r="EV8" s="357"/>
      <c r="EW8" s="357"/>
      <c r="EX8" s="377"/>
      <c r="EY8" s="383"/>
      <c r="EZ8" s="357"/>
      <c r="FA8" s="357"/>
      <c r="FB8" s="377"/>
      <c r="FC8" s="357"/>
      <c r="FD8" s="357"/>
      <c r="FE8" s="357"/>
      <c r="FF8" s="377"/>
      <c r="FG8" s="357"/>
      <c r="FH8" s="357"/>
      <c r="FI8" s="357"/>
      <c r="FJ8" s="357"/>
      <c r="FK8" s="377"/>
      <c r="FL8" s="357"/>
      <c r="FM8" s="357"/>
      <c r="FN8" s="357"/>
      <c r="FO8" s="377"/>
      <c r="FP8" s="357"/>
      <c r="FQ8" s="357"/>
      <c r="FR8" s="357"/>
      <c r="FS8" s="377"/>
      <c r="FT8" s="357"/>
      <c r="FU8" s="357"/>
      <c r="FV8" s="357"/>
      <c r="FW8" s="377"/>
      <c r="FX8" s="357"/>
      <c r="FY8" s="357"/>
      <c r="FZ8" s="357"/>
      <c r="GA8" s="377"/>
      <c r="GB8" s="357"/>
      <c r="GC8" s="357"/>
      <c r="GD8" s="357"/>
      <c r="GE8" s="377"/>
      <c r="GF8" s="357"/>
      <c r="GG8" s="357"/>
      <c r="GH8" s="357"/>
      <c r="GI8" s="377"/>
      <c r="GJ8" s="357"/>
      <c r="GK8" s="13"/>
      <c r="GL8" s="189"/>
      <c r="GM8" s="196"/>
      <c r="GN8" s="189"/>
      <c r="GO8" s="189"/>
      <c r="GP8" s="189"/>
      <c r="GQ8" s="196"/>
      <c r="GR8" s="189"/>
      <c r="GS8" s="189"/>
      <c r="GT8" s="189"/>
      <c r="GU8" s="196"/>
      <c r="GV8" s="189"/>
      <c r="GW8" s="13"/>
      <c r="GX8" s="189"/>
      <c r="GY8" s="196"/>
      <c r="GZ8" s="189"/>
      <c r="HA8" s="189"/>
      <c r="HB8" s="189"/>
      <c r="HC8" s="196"/>
      <c r="HD8" s="189"/>
      <c r="HE8" s="189"/>
      <c r="HF8" s="189"/>
      <c r="HG8" s="196"/>
      <c r="HH8" s="189"/>
      <c r="HI8" s="189"/>
      <c r="HJ8" s="189"/>
      <c r="HK8" s="196"/>
      <c r="HL8" s="189"/>
      <c r="HM8" s="189"/>
      <c r="HN8" s="189"/>
      <c r="HO8" s="196"/>
      <c r="HP8" s="189"/>
      <c r="HQ8" s="189"/>
      <c r="HR8" s="189"/>
      <c r="HS8" s="196"/>
      <c r="HT8" s="189"/>
      <c r="HU8" s="189"/>
      <c r="HV8" s="189"/>
      <c r="HW8" s="196"/>
      <c r="HX8" s="189"/>
      <c r="HY8" s="189"/>
      <c r="HZ8" s="189"/>
      <c r="IA8" s="196"/>
      <c r="IB8" s="189"/>
      <c r="IC8" s="189"/>
      <c r="ID8" s="189"/>
      <c r="IE8" s="189"/>
      <c r="IF8" s="196"/>
      <c r="IG8" s="189"/>
      <c r="IH8" s="189"/>
      <c r="II8" s="189"/>
      <c r="IJ8" s="196"/>
      <c r="IK8" s="189"/>
      <c r="IL8" s="189"/>
      <c r="IM8" s="189"/>
      <c r="IN8" s="189"/>
      <c r="IO8" s="196"/>
      <c r="IP8" s="189"/>
      <c r="IQ8" s="189"/>
      <c r="IR8" s="189"/>
      <c r="IS8" s="189"/>
      <c r="IT8" s="196"/>
      <c r="IU8" s="189"/>
      <c r="IV8" s="189"/>
      <c r="IW8" s="189"/>
      <c r="IX8" s="189"/>
      <c r="IY8" s="196"/>
      <c r="IZ8" s="189"/>
      <c r="JA8" s="189"/>
      <c r="JB8" s="189"/>
      <c r="JC8" s="196"/>
      <c r="JD8" s="189"/>
      <c r="JE8" s="189"/>
      <c r="JF8" s="189"/>
      <c r="JG8" s="189"/>
      <c r="JH8" s="189"/>
      <c r="JI8" s="189"/>
      <c r="JJ8" s="189"/>
      <c r="JK8" s="189"/>
      <c r="JL8" s="189"/>
      <c r="JM8" s="189"/>
      <c r="JN8" s="189"/>
      <c r="JO8" s="196"/>
      <c r="JP8" s="189"/>
      <c r="JQ8" s="196"/>
      <c r="JR8" s="189"/>
      <c r="JS8" s="196"/>
      <c r="JT8" s="189"/>
      <c r="JU8" s="196"/>
      <c r="JV8" s="189"/>
      <c r="JW8" s="196"/>
      <c r="JX8" s="189"/>
      <c r="JY8" s="196"/>
      <c r="JZ8" s="189"/>
      <c r="KA8" s="196"/>
      <c r="KB8" s="189"/>
      <c r="KC8" s="196"/>
      <c r="KD8" s="189"/>
      <c r="KE8" s="196"/>
      <c r="KF8" s="189"/>
      <c r="KG8" s="196"/>
      <c r="KH8" s="200"/>
      <c r="KI8" s="196"/>
      <c r="KJ8" s="200"/>
      <c r="KK8" s="196"/>
      <c r="KL8" s="200"/>
      <c r="KM8" s="196"/>
      <c r="KN8" s="200"/>
      <c r="KO8" s="196"/>
      <c r="KP8" s="200"/>
      <c r="KQ8" s="157"/>
      <c r="KR8" s="200"/>
      <c r="KS8" s="157"/>
      <c r="KT8" s="200"/>
      <c r="KU8" s="157"/>
      <c r="KV8" s="200"/>
      <c r="KW8" s="157"/>
      <c r="KX8" s="200"/>
      <c r="KY8" s="157"/>
      <c r="KZ8" s="200"/>
      <c r="LA8" s="157"/>
      <c r="LB8" s="200"/>
      <c r="LC8" s="157"/>
      <c r="LD8" s="200"/>
      <c r="LE8" s="157"/>
      <c r="LF8" s="200"/>
      <c r="LG8" s="157"/>
      <c r="LH8" s="200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7"/>
      <c r="ML8" s="157"/>
      <c r="MM8" s="157"/>
      <c r="MN8" s="157"/>
      <c r="MO8" s="157"/>
      <c r="MP8" s="157"/>
      <c r="MQ8" s="157"/>
      <c r="MR8" s="157"/>
      <c r="MS8" s="157"/>
      <c r="MT8" s="157"/>
      <c r="MU8" s="157"/>
      <c r="MV8" s="157"/>
      <c r="MW8" s="157"/>
      <c r="MX8" s="157"/>
      <c r="MY8" s="157"/>
      <c r="MZ8" s="157"/>
      <c r="NA8" s="157"/>
      <c r="NB8" s="157"/>
      <c r="NC8" s="157"/>
      <c r="ND8" s="157"/>
      <c r="NE8" s="157"/>
      <c r="NF8" s="157"/>
      <c r="NG8" s="157"/>
      <c r="NH8" s="157"/>
      <c r="NI8" s="157"/>
      <c r="NJ8" s="157"/>
      <c r="NK8" s="157"/>
      <c r="NL8" s="157"/>
      <c r="NM8" s="157"/>
      <c r="NN8" s="157"/>
      <c r="NO8" s="157"/>
      <c r="NP8" s="157"/>
      <c r="NQ8" s="157"/>
      <c r="NR8" s="157"/>
      <c r="NS8" s="157"/>
      <c r="NT8" s="157"/>
      <c r="NU8" s="157"/>
      <c r="NV8" s="157"/>
      <c r="NW8" s="157"/>
      <c r="NX8" s="157"/>
      <c r="NY8" s="157"/>
      <c r="NZ8" s="157"/>
      <c r="OA8" s="157"/>
      <c r="OB8" s="157"/>
      <c r="OC8" s="157"/>
      <c r="OD8" s="157"/>
      <c r="OE8" s="157"/>
      <c r="OF8" s="157"/>
      <c r="OG8" s="157"/>
      <c r="OH8" s="157"/>
    </row>
    <row r="9" spans="1:398">
      <c r="A9" s="7"/>
      <c r="B9" s="13"/>
      <c r="C9" s="185"/>
      <c r="D9" s="82"/>
      <c r="E9" s="185"/>
      <c r="F9" s="357"/>
      <c r="G9" s="357"/>
      <c r="H9" s="185"/>
      <c r="I9" s="82"/>
      <c r="J9" s="185"/>
      <c r="K9" s="357"/>
      <c r="L9" s="357"/>
      <c r="M9" s="82"/>
      <c r="N9" s="185"/>
      <c r="O9" s="357"/>
      <c r="P9" s="357"/>
      <c r="Q9" s="82"/>
      <c r="R9" s="185"/>
      <c r="S9" s="357"/>
      <c r="T9" s="357"/>
      <c r="U9" s="82"/>
      <c r="V9" s="185"/>
      <c r="W9" s="82"/>
      <c r="X9" s="357"/>
      <c r="Y9" s="82"/>
      <c r="Z9" s="185"/>
      <c r="AA9" s="357"/>
      <c r="AB9" s="357"/>
      <c r="AC9" s="82"/>
      <c r="AD9" s="185"/>
      <c r="AE9" s="82"/>
      <c r="AF9" s="185"/>
      <c r="AG9" s="82"/>
      <c r="AH9" s="185"/>
      <c r="AI9" s="357"/>
      <c r="AJ9" s="185"/>
      <c r="AK9" s="82"/>
      <c r="AL9" s="185"/>
      <c r="AM9" s="357"/>
      <c r="AN9" s="357"/>
      <c r="AO9" s="82"/>
      <c r="AP9" s="185"/>
      <c r="AQ9" s="357"/>
      <c r="AR9" s="357"/>
      <c r="AS9" s="82"/>
      <c r="AT9" s="185"/>
      <c r="AU9" s="357"/>
      <c r="AV9" s="357"/>
      <c r="AW9" s="82"/>
      <c r="AX9" s="185"/>
      <c r="AY9" s="357"/>
      <c r="AZ9" s="357"/>
      <c r="BA9" s="82"/>
      <c r="BB9" s="185"/>
      <c r="BC9" s="357"/>
      <c r="BD9" s="357"/>
      <c r="BE9" s="82"/>
      <c r="BF9" s="185"/>
      <c r="BG9" s="357"/>
      <c r="BH9" s="357"/>
      <c r="BI9" s="82"/>
      <c r="BJ9" s="185"/>
      <c r="BK9" s="357"/>
      <c r="BL9" s="357"/>
      <c r="BM9" s="82"/>
      <c r="BN9" s="185"/>
      <c r="BO9" s="357"/>
      <c r="BP9" s="357"/>
      <c r="BQ9" s="82"/>
      <c r="BR9" s="185"/>
      <c r="BS9" s="357"/>
      <c r="BT9" s="357"/>
      <c r="BU9" s="82"/>
      <c r="BV9" s="185"/>
      <c r="BW9" s="357"/>
      <c r="BX9" s="357"/>
      <c r="BY9" s="82"/>
      <c r="BZ9" s="185"/>
      <c r="CA9" s="357"/>
      <c r="CB9" s="357"/>
      <c r="CC9" s="82"/>
      <c r="CD9" s="185"/>
      <c r="CE9" s="357"/>
      <c r="CF9" s="357"/>
      <c r="CG9" s="82"/>
      <c r="CH9" s="185"/>
      <c r="CI9" s="357"/>
      <c r="CJ9" s="357"/>
      <c r="CK9" s="82"/>
      <c r="CL9" s="185"/>
      <c r="CM9" s="357"/>
      <c r="CN9" s="357"/>
      <c r="CO9" s="82"/>
      <c r="CP9" s="185"/>
      <c r="CQ9" s="357"/>
      <c r="CR9" s="357"/>
      <c r="CS9" s="82"/>
      <c r="CT9" s="185"/>
      <c r="CU9" s="357"/>
      <c r="CV9" s="357"/>
      <c r="CW9" s="82"/>
      <c r="CX9" s="185"/>
      <c r="CY9" s="357"/>
      <c r="CZ9" s="357"/>
      <c r="DA9" s="82"/>
      <c r="DB9" s="185"/>
      <c r="DC9" s="357"/>
      <c r="DD9" s="357"/>
      <c r="DE9" s="82"/>
      <c r="DF9" s="185"/>
      <c r="DG9" s="357"/>
      <c r="DH9" s="357"/>
      <c r="DI9" s="82"/>
      <c r="DJ9" s="185"/>
      <c r="DK9" s="357"/>
      <c r="DL9" s="357"/>
      <c r="DM9" s="82"/>
      <c r="DN9" s="185"/>
      <c r="DO9" s="357"/>
      <c r="DP9" s="357"/>
      <c r="DQ9" s="82"/>
      <c r="DR9" s="185"/>
      <c r="DS9" s="357"/>
      <c r="DT9" s="357"/>
      <c r="DU9" s="82"/>
      <c r="DV9" s="185"/>
      <c r="DW9" s="357"/>
      <c r="DX9" s="13"/>
      <c r="DY9" s="82"/>
      <c r="DZ9" s="185"/>
      <c r="EA9" s="357"/>
      <c r="EB9" s="357"/>
      <c r="EC9" s="82"/>
      <c r="ED9" s="185"/>
      <c r="EE9" s="357"/>
      <c r="EF9" s="13"/>
      <c r="EG9" s="82"/>
      <c r="EH9" s="185"/>
      <c r="EI9" s="357"/>
      <c r="EJ9" s="357"/>
      <c r="EK9" s="82"/>
      <c r="EL9" s="185"/>
      <c r="EM9" s="357"/>
      <c r="EN9" s="357"/>
      <c r="EO9" s="82"/>
      <c r="EP9" s="185"/>
      <c r="EQ9" s="357"/>
      <c r="ER9" s="357"/>
      <c r="ES9" s="357"/>
      <c r="ET9" s="375"/>
      <c r="EU9" s="357"/>
      <c r="EV9" s="357"/>
      <c r="EW9" s="357"/>
      <c r="EX9" s="375"/>
      <c r="EY9" s="383"/>
      <c r="EZ9" s="357"/>
      <c r="FA9" s="357"/>
      <c r="FB9" s="375"/>
      <c r="FC9" s="357"/>
      <c r="FD9" s="357"/>
      <c r="FE9" s="357"/>
      <c r="FF9" s="375"/>
      <c r="FG9" s="357"/>
      <c r="FH9" s="357"/>
      <c r="FI9" s="357"/>
      <c r="FJ9" s="357"/>
      <c r="FK9" s="375"/>
      <c r="FL9" s="357"/>
      <c r="FM9" s="357"/>
      <c r="FN9" s="357"/>
      <c r="FO9" s="375"/>
      <c r="FP9" s="357"/>
      <c r="FQ9" s="357"/>
      <c r="FR9" s="357"/>
      <c r="FS9" s="375"/>
      <c r="FT9" s="357"/>
      <c r="FU9" s="357"/>
      <c r="FV9" s="357"/>
      <c r="FW9" s="375"/>
      <c r="FX9" s="357"/>
      <c r="FY9" s="357"/>
      <c r="FZ9" s="357"/>
      <c r="GA9" s="375"/>
      <c r="GB9" s="357"/>
      <c r="GC9" s="357"/>
      <c r="GD9" s="357"/>
      <c r="GE9" s="375"/>
      <c r="GF9" s="357"/>
      <c r="GG9" s="357"/>
      <c r="GH9" s="357"/>
      <c r="GI9" s="375"/>
      <c r="GJ9" s="357"/>
      <c r="GK9" s="13"/>
      <c r="GL9" s="189"/>
      <c r="GM9" s="185"/>
      <c r="GN9" s="189"/>
      <c r="GO9" s="189"/>
      <c r="GP9" s="189"/>
      <c r="GQ9" s="185"/>
      <c r="GR9" s="189"/>
      <c r="GS9" s="189"/>
      <c r="GT9" s="189"/>
      <c r="GU9" s="185"/>
      <c r="GV9" s="189"/>
      <c r="GW9" s="13"/>
      <c r="GX9" s="189"/>
      <c r="GY9" s="185"/>
      <c r="GZ9" s="189"/>
      <c r="HA9" s="189"/>
      <c r="HB9" s="189"/>
      <c r="HC9" s="185"/>
      <c r="HD9" s="189"/>
      <c r="HE9" s="189"/>
      <c r="HF9" s="189"/>
      <c r="HG9" s="185"/>
      <c r="HH9" s="189"/>
      <c r="HI9" s="189"/>
      <c r="HJ9" s="189"/>
      <c r="HK9" s="185"/>
      <c r="HL9" s="189"/>
      <c r="HM9" s="189"/>
      <c r="HN9" s="189"/>
      <c r="HO9" s="185"/>
      <c r="HP9" s="189"/>
      <c r="HQ9" s="189"/>
      <c r="HR9" s="189"/>
      <c r="HS9" s="185"/>
      <c r="HT9" s="189"/>
      <c r="HU9" s="189"/>
      <c r="HV9" s="189"/>
      <c r="HW9" s="185"/>
      <c r="HX9" s="189"/>
      <c r="HY9" s="189"/>
      <c r="HZ9" s="189"/>
      <c r="IA9" s="185"/>
      <c r="IB9" s="189"/>
      <c r="IC9" s="189"/>
      <c r="ID9" s="189"/>
      <c r="IE9" s="189"/>
      <c r="IF9" s="185"/>
      <c r="IG9" s="189"/>
      <c r="IH9" s="189"/>
      <c r="II9" s="189"/>
      <c r="IJ9" s="185"/>
      <c r="IK9" s="189"/>
      <c r="IL9" s="189"/>
      <c r="IM9" s="189"/>
      <c r="IN9" s="189"/>
      <c r="IO9" s="185"/>
      <c r="IP9" s="189"/>
      <c r="IQ9" s="189"/>
      <c r="IR9" s="189"/>
      <c r="IS9" s="189"/>
      <c r="IT9" s="185"/>
      <c r="IU9" s="189"/>
      <c r="IV9" s="189"/>
      <c r="IW9" s="189"/>
      <c r="IX9" s="189"/>
      <c r="IY9" s="185"/>
      <c r="IZ9" s="189"/>
      <c r="JA9" s="189"/>
      <c r="JB9" s="189"/>
      <c r="JC9" s="185"/>
      <c r="JD9" s="189"/>
      <c r="JE9" s="189"/>
      <c r="JF9" s="189"/>
      <c r="JG9" s="189"/>
      <c r="JH9" s="189"/>
      <c r="JI9" s="189"/>
      <c r="JJ9" s="189"/>
      <c r="JK9" s="189"/>
      <c r="JL9" s="189"/>
      <c r="JM9" s="189"/>
      <c r="JN9" s="189"/>
      <c r="JO9" s="185"/>
      <c r="JP9" s="189"/>
      <c r="JQ9" s="185"/>
      <c r="JR9" s="189"/>
      <c r="JS9" s="185"/>
      <c r="JT9" s="189"/>
      <c r="JU9" s="185"/>
      <c r="JV9" s="189"/>
      <c r="JW9" s="185"/>
      <c r="JX9" s="189"/>
      <c r="JY9" s="185"/>
      <c r="JZ9" s="189"/>
      <c r="KA9" s="185"/>
      <c r="KB9" s="189"/>
      <c r="KC9" s="185"/>
      <c r="KD9" s="189"/>
      <c r="KE9" s="185"/>
      <c r="KF9" s="189"/>
      <c r="KG9" s="185"/>
      <c r="KH9" s="200"/>
      <c r="KI9" s="185"/>
      <c r="KJ9" s="200"/>
      <c r="KK9" s="185"/>
      <c r="KL9" s="200"/>
      <c r="KM9" s="185"/>
      <c r="KN9" s="200"/>
      <c r="KO9" s="196"/>
      <c r="KP9" s="200"/>
      <c r="KQ9" s="157"/>
      <c r="KR9" s="200"/>
      <c r="KS9" s="157"/>
      <c r="KT9" s="200"/>
      <c r="KU9" s="157"/>
      <c r="KV9" s="200"/>
      <c r="KW9" s="157"/>
      <c r="KX9" s="200"/>
      <c r="KY9" s="157"/>
      <c r="KZ9" s="200"/>
      <c r="LA9" s="157"/>
      <c r="LB9" s="200"/>
      <c r="LC9" s="157"/>
      <c r="LD9" s="200"/>
      <c r="LE9" s="157"/>
      <c r="LF9" s="200"/>
      <c r="LG9" s="157"/>
      <c r="LH9" s="200"/>
      <c r="LI9" s="157"/>
      <c r="LJ9" s="157"/>
      <c r="LK9" s="157"/>
      <c r="LL9" s="157"/>
      <c r="LM9" s="157"/>
      <c r="LN9" s="157"/>
      <c r="LO9" s="157"/>
      <c r="LP9" s="157"/>
      <c r="LQ9" s="157"/>
      <c r="LR9" s="157"/>
      <c r="LS9" s="157"/>
      <c r="LT9" s="157"/>
      <c r="LU9" s="157"/>
      <c r="LV9" s="157"/>
      <c r="LW9" s="157"/>
      <c r="LX9" s="157"/>
      <c r="LY9" s="157"/>
      <c r="LZ9" s="157"/>
      <c r="MA9" s="157"/>
      <c r="MB9" s="157"/>
      <c r="MC9" s="157"/>
      <c r="MD9" s="157"/>
      <c r="ME9" s="157"/>
      <c r="MF9" s="157"/>
      <c r="MG9" s="157"/>
      <c r="MH9" s="157"/>
      <c r="MI9" s="157"/>
      <c r="MJ9" s="157"/>
      <c r="MK9" s="157"/>
      <c r="ML9" s="157"/>
      <c r="MM9" s="157"/>
      <c r="MN9" s="157"/>
      <c r="MO9" s="157"/>
      <c r="MP9" s="157"/>
      <c r="MQ9" s="157"/>
      <c r="MR9" s="157"/>
      <c r="MS9" s="157"/>
      <c r="MT9" s="157"/>
      <c r="MU9" s="157"/>
      <c r="MV9" s="157"/>
      <c r="MW9" s="157"/>
      <c r="MX9" s="157"/>
      <c r="MY9" s="157"/>
      <c r="MZ9" s="157"/>
      <c r="NA9" s="157"/>
      <c r="NB9" s="157"/>
      <c r="NC9" s="157"/>
      <c r="ND9" s="157"/>
      <c r="NE9" s="157"/>
      <c r="NF9" s="157"/>
      <c r="NG9" s="157"/>
      <c r="NH9" s="157"/>
      <c r="NI9" s="157"/>
      <c r="NJ9" s="157"/>
      <c r="NK9" s="157"/>
      <c r="NL9" s="157"/>
      <c r="NM9" s="157"/>
      <c r="NN9" s="157"/>
      <c r="NO9" s="157"/>
      <c r="NP9" s="157"/>
      <c r="NQ9" s="157"/>
      <c r="NR9" s="157"/>
      <c r="NS9" s="157"/>
      <c r="NT9" s="157"/>
      <c r="NU9" s="157"/>
      <c r="NV9" s="157"/>
      <c r="NW9" s="157"/>
      <c r="NX9" s="157"/>
      <c r="NY9" s="157"/>
      <c r="NZ9" s="157"/>
      <c r="OA9" s="157"/>
      <c r="OB9" s="157"/>
      <c r="OC9" s="157"/>
      <c r="OD9" s="157"/>
      <c r="OE9" s="157"/>
      <c r="OF9" s="157"/>
      <c r="OG9" s="157"/>
      <c r="OH9" s="157"/>
    </row>
    <row r="10" spans="1:398">
      <c r="A10" s="7"/>
      <c r="B10" s="13"/>
      <c r="C10" s="201"/>
      <c r="D10" s="82"/>
      <c r="E10" s="201"/>
      <c r="F10" s="357"/>
      <c r="G10" s="357"/>
      <c r="H10" s="201"/>
      <c r="I10" s="82"/>
      <c r="J10" s="201"/>
      <c r="K10" s="357"/>
      <c r="L10" s="357"/>
      <c r="M10" s="82"/>
      <c r="N10" s="201"/>
      <c r="O10" s="357"/>
      <c r="P10" s="357"/>
      <c r="Q10" s="82"/>
      <c r="R10" s="201"/>
      <c r="S10" s="357"/>
      <c r="T10" s="357"/>
      <c r="U10" s="82"/>
      <c r="V10" s="201"/>
      <c r="W10" s="82"/>
      <c r="X10" s="357"/>
      <c r="Y10" s="82"/>
      <c r="Z10" s="201"/>
      <c r="AA10" s="357"/>
      <c r="AB10" s="357"/>
      <c r="AC10" s="82"/>
      <c r="AD10" s="201"/>
      <c r="AE10" s="82"/>
      <c r="AF10" s="201"/>
      <c r="AG10" s="82"/>
      <c r="AH10" s="201"/>
      <c r="AI10" s="357"/>
      <c r="AJ10" s="201"/>
      <c r="AK10" s="82"/>
      <c r="AL10" s="201"/>
      <c r="AM10" s="357"/>
      <c r="AN10" s="357"/>
      <c r="AO10" s="82"/>
      <c r="AP10" s="201"/>
      <c r="AQ10" s="357"/>
      <c r="AR10" s="357"/>
      <c r="AS10" s="82"/>
      <c r="AT10" s="201"/>
      <c r="AU10" s="357"/>
      <c r="AV10" s="357"/>
      <c r="AW10" s="82"/>
      <c r="AX10" s="201"/>
      <c r="AY10" s="357"/>
      <c r="AZ10" s="357"/>
      <c r="BA10" s="82"/>
      <c r="BB10" s="201"/>
      <c r="BC10" s="357"/>
      <c r="BD10" s="357"/>
      <c r="BE10" s="82"/>
      <c r="BF10" s="201"/>
      <c r="BG10" s="357"/>
      <c r="BH10" s="357"/>
      <c r="BI10" s="82"/>
      <c r="BJ10" s="201"/>
      <c r="BK10" s="357"/>
      <c r="BL10" s="357"/>
      <c r="BM10" s="82"/>
      <c r="BN10" s="201"/>
      <c r="BO10" s="357"/>
      <c r="BP10" s="357"/>
      <c r="BQ10" s="82"/>
      <c r="BR10" s="201"/>
      <c r="BS10" s="357"/>
      <c r="BT10" s="357"/>
      <c r="BU10" s="82"/>
      <c r="BV10" s="201"/>
      <c r="BW10" s="357"/>
      <c r="BX10" s="357"/>
      <c r="BY10" s="82"/>
      <c r="BZ10" s="201"/>
      <c r="CA10" s="357"/>
      <c r="CB10" s="357"/>
      <c r="CC10" s="82"/>
      <c r="CD10" s="201"/>
      <c r="CE10" s="357"/>
      <c r="CF10" s="357"/>
      <c r="CG10" s="82"/>
      <c r="CH10" s="201"/>
      <c r="CI10" s="357"/>
      <c r="CJ10" s="357"/>
      <c r="CK10" s="82"/>
      <c r="CL10" s="201"/>
      <c r="CM10" s="357"/>
      <c r="CN10" s="357"/>
      <c r="CO10" s="82"/>
      <c r="CP10" s="201"/>
      <c r="CQ10" s="357"/>
      <c r="CR10" s="357"/>
      <c r="CS10" s="82"/>
      <c r="CT10" s="201"/>
      <c r="CU10" s="357"/>
      <c r="CV10" s="357"/>
      <c r="CW10" s="82"/>
      <c r="CX10" s="201"/>
      <c r="CY10" s="357"/>
      <c r="CZ10" s="357"/>
      <c r="DA10" s="82"/>
      <c r="DB10" s="201"/>
      <c r="DC10" s="357"/>
      <c r="DD10" s="357"/>
      <c r="DE10" s="82"/>
      <c r="DF10" s="201"/>
      <c r="DG10" s="357"/>
      <c r="DH10" s="357"/>
      <c r="DI10" s="82"/>
      <c r="DJ10" s="201"/>
      <c r="DK10" s="357"/>
      <c r="DL10" s="357"/>
      <c r="DM10" s="82"/>
      <c r="DN10" s="201"/>
      <c r="DO10" s="357"/>
      <c r="DP10" s="357"/>
      <c r="DQ10" s="82"/>
      <c r="DR10" s="201"/>
      <c r="DS10" s="357"/>
      <c r="DT10" s="357"/>
      <c r="DU10" s="82"/>
      <c r="DV10" s="201"/>
      <c r="DW10" s="357"/>
      <c r="DX10" s="13"/>
      <c r="DY10" s="82"/>
      <c r="DZ10" s="201"/>
      <c r="EA10" s="357"/>
      <c r="EB10" s="357"/>
      <c r="EC10" s="82"/>
      <c r="ED10" s="201"/>
      <c r="EE10" s="357"/>
      <c r="EF10" s="13"/>
      <c r="EG10" s="82"/>
      <c r="EH10" s="201"/>
      <c r="EI10" s="357"/>
      <c r="EJ10" s="357"/>
      <c r="EK10" s="82"/>
      <c r="EL10" s="201"/>
      <c r="EM10" s="357"/>
      <c r="EN10" s="357"/>
      <c r="EO10" s="82"/>
      <c r="EP10" s="201"/>
      <c r="EQ10" s="357"/>
      <c r="ER10" s="357"/>
      <c r="ES10" s="357"/>
      <c r="ET10" s="378"/>
      <c r="EU10" s="357"/>
      <c r="EV10" s="357"/>
      <c r="EW10" s="357"/>
      <c r="EX10" s="378"/>
      <c r="EY10" s="383"/>
      <c r="EZ10" s="357"/>
      <c r="FA10" s="357"/>
      <c r="FB10" s="378"/>
      <c r="FC10" s="357"/>
      <c r="FD10" s="357"/>
      <c r="FE10" s="357"/>
      <c r="FF10" s="378"/>
      <c r="FG10" s="357"/>
      <c r="FH10" s="357"/>
      <c r="FI10" s="357"/>
      <c r="FJ10" s="357"/>
      <c r="FK10" s="378"/>
      <c r="FL10" s="357"/>
      <c r="FM10" s="357"/>
      <c r="FN10" s="357"/>
      <c r="FO10" s="378"/>
      <c r="FP10" s="357"/>
      <c r="FQ10" s="357"/>
      <c r="FR10" s="357"/>
      <c r="FS10" s="378"/>
      <c r="FT10" s="357"/>
      <c r="FU10" s="357"/>
      <c r="FV10" s="357"/>
      <c r="FW10" s="378"/>
      <c r="FX10" s="357"/>
      <c r="FY10" s="357"/>
      <c r="FZ10" s="357"/>
      <c r="GA10" s="378"/>
      <c r="GB10" s="357"/>
      <c r="GC10" s="357"/>
      <c r="GD10" s="357"/>
      <c r="GE10" s="378"/>
      <c r="GF10" s="357"/>
      <c r="GG10" s="357"/>
      <c r="GH10" s="357"/>
      <c r="GI10" s="378"/>
      <c r="GJ10" s="357"/>
      <c r="GK10" s="13"/>
      <c r="GL10" s="189"/>
      <c r="GM10" s="201"/>
      <c r="GN10" s="189"/>
      <c r="GO10" s="189"/>
      <c r="GP10" s="189"/>
      <c r="GQ10" s="201"/>
      <c r="GR10" s="189"/>
      <c r="GS10" s="189"/>
      <c r="GT10" s="189"/>
      <c r="GU10" s="201"/>
      <c r="GV10" s="189"/>
      <c r="GW10" s="13"/>
      <c r="GX10" s="189"/>
      <c r="GY10" s="201"/>
      <c r="GZ10" s="189"/>
      <c r="HA10" s="189"/>
      <c r="HB10" s="189"/>
      <c r="HC10" s="201"/>
      <c r="HD10" s="189"/>
      <c r="HE10" s="189"/>
      <c r="HF10" s="189"/>
      <c r="HG10" s="201"/>
      <c r="HH10" s="189"/>
      <c r="HI10" s="189"/>
      <c r="HJ10" s="189"/>
      <c r="HK10" s="201"/>
      <c r="HL10" s="189"/>
      <c r="HM10" s="189"/>
      <c r="HN10" s="189"/>
      <c r="HO10" s="201"/>
      <c r="HP10" s="189"/>
      <c r="HQ10" s="189"/>
      <c r="HR10" s="189"/>
      <c r="HS10" s="201"/>
      <c r="HT10" s="189"/>
      <c r="HU10" s="189"/>
      <c r="HV10" s="189"/>
      <c r="HW10" s="201"/>
      <c r="HX10" s="189"/>
      <c r="HY10" s="189"/>
      <c r="HZ10" s="189"/>
      <c r="IA10" s="201"/>
      <c r="IB10" s="189"/>
      <c r="IC10" s="189"/>
      <c r="ID10" s="189"/>
      <c r="IE10" s="189"/>
      <c r="IF10" s="201"/>
      <c r="IG10" s="189"/>
      <c r="IH10" s="189"/>
      <c r="II10" s="189"/>
      <c r="IJ10" s="201"/>
      <c r="IK10" s="189"/>
      <c r="IL10" s="189"/>
      <c r="IM10" s="189"/>
      <c r="IN10" s="189"/>
      <c r="IO10" s="201"/>
      <c r="IP10" s="189"/>
      <c r="IQ10" s="189"/>
      <c r="IR10" s="189"/>
      <c r="IS10" s="189"/>
      <c r="IT10" s="201"/>
      <c r="IU10" s="189"/>
      <c r="IV10" s="189"/>
      <c r="IW10" s="189"/>
      <c r="IX10" s="189"/>
      <c r="IY10" s="201"/>
      <c r="IZ10" s="189"/>
      <c r="JA10" s="189"/>
      <c r="JB10" s="189"/>
      <c r="JC10" s="201"/>
      <c r="JD10" s="189"/>
      <c r="JE10" s="189"/>
      <c r="JF10" s="189"/>
      <c r="JG10" s="189"/>
      <c r="JH10" s="189"/>
      <c r="JI10" s="189"/>
      <c r="JJ10" s="189"/>
      <c r="JK10" s="189"/>
      <c r="JL10" s="189"/>
      <c r="JM10" s="189"/>
      <c r="JN10" s="189"/>
      <c r="JO10" s="201"/>
      <c r="JP10" s="189"/>
      <c r="JQ10" s="201"/>
      <c r="JR10" s="189"/>
      <c r="JS10" s="201"/>
      <c r="JT10" s="189"/>
      <c r="JU10" s="201"/>
      <c r="JV10" s="189"/>
      <c r="JW10" s="201"/>
      <c r="JX10" s="189"/>
      <c r="JY10" s="201"/>
      <c r="JZ10" s="189"/>
      <c r="KA10" s="201"/>
      <c r="KB10" s="189"/>
      <c r="KC10" s="201"/>
      <c r="KD10" s="189"/>
      <c r="KE10" s="201"/>
      <c r="KF10" s="189"/>
      <c r="KG10" s="201"/>
      <c r="KH10" s="185"/>
      <c r="KI10" s="201"/>
      <c r="KJ10" s="185"/>
      <c r="KK10" s="201"/>
      <c r="KL10" s="185"/>
      <c r="KM10" s="201"/>
      <c r="KN10" s="185"/>
      <c r="KO10" s="185"/>
      <c r="KP10" s="185"/>
      <c r="KQ10" s="157"/>
      <c r="KR10" s="185"/>
      <c r="KS10" s="157"/>
      <c r="KT10" s="185"/>
      <c r="KU10" s="157"/>
      <c r="KV10" s="185"/>
      <c r="KW10" s="157"/>
      <c r="KX10" s="185"/>
      <c r="KY10" s="157"/>
      <c r="KZ10" s="185"/>
      <c r="LA10" s="157"/>
      <c r="LB10" s="185"/>
      <c r="LC10" s="157"/>
      <c r="LD10" s="185"/>
      <c r="LE10" s="157"/>
      <c r="LF10" s="185"/>
      <c r="LG10" s="157"/>
      <c r="LH10" s="185"/>
      <c r="LI10" s="157"/>
      <c r="LJ10" s="157"/>
      <c r="LK10" s="157"/>
      <c r="LL10" s="157"/>
      <c r="LM10" s="157"/>
      <c r="LN10" s="157"/>
      <c r="LO10" s="157"/>
      <c r="LP10" s="157"/>
      <c r="LQ10" s="157"/>
      <c r="LR10" s="157"/>
      <c r="LS10" s="157"/>
      <c r="LT10" s="157"/>
      <c r="LU10" s="157"/>
      <c r="LV10" s="157"/>
      <c r="LW10" s="157"/>
      <c r="LX10" s="157"/>
      <c r="LY10" s="157"/>
      <c r="LZ10" s="157"/>
      <c r="MA10" s="157"/>
      <c r="MB10" s="157"/>
      <c r="MC10" s="157"/>
      <c r="MD10" s="157"/>
      <c r="ME10" s="157"/>
      <c r="MF10" s="157"/>
      <c r="MG10" s="157"/>
      <c r="MH10" s="157"/>
      <c r="MI10" s="157"/>
      <c r="MJ10" s="157"/>
      <c r="MK10" s="157"/>
      <c r="ML10" s="157"/>
      <c r="MM10" s="157"/>
      <c r="MN10" s="157"/>
      <c r="MO10" s="157"/>
      <c r="MP10" s="157"/>
      <c r="MQ10" s="157"/>
      <c r="MR10" s="157"/>
      <c r="MS10" s="157"/>
      <c r="MT10" s="157"/>
      <c r="MU10" s="157"/>
      <c r="MV10" s="157"/>
      <c r="MW10" s="157"/>
      <c r="MX10" s="157"/>
      <c r="MY10" s="157"/>
      <c r="MZ10" s="157"/>
      <c r="NA10" s="157"/>
      <c r="NB10" s="157"/>
      <c r="NC10" s="157"/>
      <c r="ND10" s="157"/>
      <c r="NE10" s="157"/>
      <c r="NF10" s="157"/>
      <c r="NG10" s="157"/>
      <c r="NH10" s="157"/>
      <c r="NI10" s="157"/>
      <c r="NJ10" s="157"/>
      <c r="NK10" s="157"/>
      <c r="NL10" s="157"/>
      <c r="NM10" s="157"/>
      <c r="NN10" s="157"/>
      <c r="NO10" s="157"/>
      <c r="NP10" s="157"/>
      <c r="NQ10" s="157"/>
      <c r="NR10" s="157"/>
      <c r="NS10" s="157"/>
      <c r="NT10" s="157"/>
      <c r="NU10" s="157"/>
      <c r="NV10" s="157"/>
      <c r="NW10" s="157"/>
      <c r="NX10" s="157"/>
      <c r="NY10" s="157"/>
      <c r="NZ10" s="157"/>
      <c r="OA10" s="157"/>
      <c r="OB10" s="157"/>
      <c r="OC10" s="157"/>
      <c r="OD10" s="157"/>
      <c r="OE10" s="157"/>
      <c r="OF10" s="157"/>
      <c r="OG10" s="157"/>
      <c r="OH10" s="157"/>
    </row>
    <row r="11" spans="1:398">
      <c r="A11" s="7"/>
      <c r="B11" s="13"/>
      <c r="C11" s="167"/>
      <c r="D11" s="82"/>
      <c r="E11" s="167"/>
      <c r="F11" s="357"/>
      <c r="G11" s="357"/>
      <c r="H11" s="167"/>
      <c r="I11" s="82"/>
      <c r="J11" s="167"/>
      <c r="K11" s="357"/>
      <c r="L11" s="357"/>
      <c r="M11" s="82"/>
      <c r="N11" s="167"/>
      <c r="O11" s="357"/>
      <c r="P11" s="357"/>
      <c r="Q11" s="82"/>
      <c r="R11" s="167"/>
      <c r="S11" s="357"/>
      <c r="T11" s="357"/>
      <c r="U11" s="82">
        <v>1000</v>
      </c>
      <c r="V11" s="167"/>
      <c r="W11" s="82"/>
      <c r="X11" s="357"/>
      <c r="Y11" s="82"/>
      <c r="Z11" s="167"/>
      <c r="AA11" s="357"/>
      <c r="AB11" s="357"/>
      <c r="AC11" s="82"/>
      <c r="AD11" s="167"/>
      <c r="AE11" s="82"/>
      <c r="AF11" s="167"/>
      <c r="AG11" s="82"/>
      <c r="AH11" s="167"/>
      <c r="AI11" s="357"/>
      <c r="AJ11" s="167"/>
      <c r="AK11" s="82"/>
      <c r="AL11" s="167"/>
      <c r="AM11" s="357"/>
      <c r="AN11" s="357"/>
      <c r="AO11" s="82"/>
      <c r="AP11" s="167"/>
      <c r="AQ11" s="357"/>
      <c r="AR11" s="357"/>
      <c r="AS11" s="82"/>
      <c r="AT11" s="167"/>
      <c r="AU11" s="357"/>
      <c r="AV11" s="357"/>
      <c r="AW11" s="82"/>
      <c r="AX11" s="167"/>
      <c r="AY11" s="357"/>
      <c r="AZ11" s="357"/>
      <c r="BA11" s="82"/>
      <c r="BB11" s="167"/>
      <c r="BC11" s="357"/>
      <c r="BD11" s="357"/>
      <c r="BE11" s="82"/>
      <c r="BF11" s="167"/>
      <c r="BG11" s="357"/>
      <c r="BH11" s="357"/>
      <c r="BI11" s="82"/>
      <c r="BJ11" s="167"/>
      <c r="BK11" s="357"/>
      <c r="BL11" s="357"/>
      <c r="BM11" s="82"/>
      <c r="BN11" s="167"/>
      <c r="BO11" s="357"/>
      <c r="BP11" s="357"/>
      <c r="BQ11" s="82"/>
      <c r="BR11" s="167"/>
      <c r="BS11" s="357"/>
      <c r="BT11" s="357"/>
      <c r="BU11" s="82"/>
      <c r="BV11" s="167"/>
      <c r="BW11" s="357"/>
      <c r="BX11" s="357"/>
      <c r="BY11" s="82"/>
      <c r="BZ11" s="167"/>
      <c r="CA11" s="357"/>
      <c r="CB11" s="357"/>
      <c r="CC11" s="82"/>
      <c r="CD11" s="167"/>
      <c r="CE11" s="357"/>
      <c r="CF11" s="357"/>
      <c r="CG11" s="82"/>
      <c r="CH11" s="167"/>
      <c r="CI11" s="357"/>
      <c r="CJ11" s="357"/>
      <c r="CK11" s="82"/>
      <c r="CL11" s="167"/>
      <c r="CM11" s="357"/>
      <c r="CN11" s="357"/>
      <c r="CO11" s="82"/>
      <c r="CP11" s="167"/>
      <c r="CQ11" s="357"/>
      <c r="CR11" s="357"/>
      <c r="CS11" s="82"/>
      <c r="CT11" s="167"/>
      <c r="CU11" s="357"/>
      <c r="CV11" s="357"/>
      <c r="CW11" s="82"/>
      <c r="CX11" s="167"/>
      <c r="CY11" s="357"/>
      <c r="CZ11" s="357"/>
      <c r="DA11" s="82"/>
      <c r="DB11" s="167"/>
      <c r="DC11" s="357"/>
      <c r="DD11" s="357"/>
      <c r="DE11" s="82"/>
      <c r="DF11" s="167"/>
      <c r="DG11" s="357"/>
      <c r="DH11" s="357"/>
      <c r="DI11" s="82"/>
      <c r="DJ11" s="167"/>
      <c r="DK11" s="357"/>
      <c r="DL11" s="357"/>
      <c r="DM11" s="82"/>
      <c r="DN11" s="167"/>
      <c r="DO11" s="357"/>
      <c r="DP11" s="357"/>
      <c r="DQ11" s="82"/>
      <c r="DR11" s="167"/>
      <c r="DS11" s="357"/>
      <c r="DT11" s="357"/>
      <c r="DU11" s="82"/>
      <c r="DV11" s="167"/>
      <c r="DW11" s="357"/>
      <c r="DX11" s="13"/>
      <c r="DY11" s="82"/>
      <c r="DZ11" s="167"/>
      <c r="EA11" s="357"/>
      <c r="EB11" s="357"/>
      <c r="EC11" s="82"/>
      <c r="ED11" s="167"/>
      <c r="EE11" s="357"/>
      <c r="EF11" s="13"/>
      <c r="EG11" s="82"/>
      <c r="EH11" s="167"/>
      <c r="EI11" s="357"/>
      <c r="EJ11" s="357"/>
      <c r="EK11" s="82"/>
      <c r="EL11" s="167"/>
      <c r="EM11" s="357"/>
      <c r="EN11" s="357"/>
      <c r="EO11" s="82"/>
      <c r="EP11" s="167"/>
      <c r="EQ11" s="357"/>
      <c r="ER11" s="357"/>
      <c r="ES11" s="357"/>
      <c r="ET11" s="376"/>
      <c r="EU11" s="357"/>
      <c r="EV11" s="357"/>
      <c r="EW11" s="357"/>
      <c r="EX11" s="376"/>
      <c r="EY11" s="383"/>
      <c r="EZ11" s="357"/>
      <c r="FA11" s="357"/>
      <c r="FB11" s="376"/>
      <c r="FC11" s="357"/>
      <c r="FD11" s="357"/>
      <c r="FE11" s="357"/>
      <c r="FF11" s="376"/>
      <c r="FG11" s="357"/>
      <c r="FH11" s="357"/>
      <c r="FI11" s="357"/>
      <c r="FJ11" s="357"/>
      <c r="FK11" s="376"/>
      <c r="FL11" s="357"/>
      <c r="FM11" s="357"/>
      <c r="FN11" s="357"/>
      <c r="FO11" s="376"/>
      <c r="FP11" s="357"/>
      <c r="FQ11" s="357"/>
      <c r="FR11" s="357"/>
      <c r="FS11" s="376"/>
      <c r="FT11" s="357"/>
      <c r="FU11" s="357"/>
      <c r="FV11" s="357"/>
      <c r="FW11" s="376"/>
      <c r="FX11" s="357"/>
      <c r="FY11" s="357"/>
      <c r="FZ11" s="357"/>
      <c r="GA11" s="376"/>
      <c r="GB11" s="357"/>
      <c r="GC11" s="357"/>
      <c r="GD11" s="357"/>
      <c r="GE11" s="376"/>
      <c r="GF11" s="357"/>
      <c r="GG11" s="357"/>
      <c r="GH11" s="357"/>
      <c r="GI11" s="376"/>
      <c r="GJ11" s="357"/>
      <c r="GK11" s="13"/>
      <c r="GL11" s="189"/>
      <c r="GM11" s="167"/>
      <c r="GN11" s="189"/>
      <c r="GO11" s="189"/>
      <c r="GP11" s="189"/>
      <c r="GQ11" s="167"/>
      <c r="GR11" s="189"/>
      <c r="GS11" s="189"/>
      <c r="GT11" s="189"/>
      <c r="GU11" s="167"/>
      <c r="GV11" s="189"/>
      <c r="GW11" s="13"/>
      <c r="GX11" s="189"/>
      <c r="GY11" s="167"/>
      <c r="GZ11" s="189"/>
      <c r="HA11" s="189"/>
      <c r="HB11" s="189"/>
      <c r="HC11" s="167"/>
      <c r="HD11" s="189"/>
      <c r="HE11" s="189"/>
      <c r="HF11" s="189"/>
      <c r="HG11" s="167"/>
      <c r="HH11" s="189"/>
      <c r="HI11" s="189"/>
      <c r="HJ11" s="189"/>
      <c r="HK11" s="167"/>
      <c r="HL11" s="189"/>
      <c r="HM11" s="189"/>
      <c r="HN11" s="189"/>
      <c r="HO11" s="167"/>
      <c r="HP11" s="189"/>
      <c r="HQ11" s="189"/>
      <c r="HR11" s="189"/>
      <c r="HS11" s="167"/>
      <c r="HT11" s="189"/>
      <c r="HU11" s="189"/>
      <c r="HV11" s="189"/>
      <c r="HW11" s="167"/>
      <c r="HX11" s="189"/>
      <c r="HY11" s="189"/>
      <c r="HZ11" s="189"/>
      <c r="IA11" s="167"/>
      <c r="IB11" s="189"/>
      <c r="IC11" s="189"/>
      <c r="ID11" s="189"/>
      <c r="IE11" s="189"/>
      <c r="IF11" s="167"/>
      <c r="IG11" s="189"/>
      <c r="IH11" s="189"/>
      <c r="II11" s="189"/>
      <c r="IJ11" s="167"/>
      <c r="IK11" s="189"/>
      <c r="IL11" s="189"/>
      <c r="IM11" s="189"/>
      <c r="IN11" s="189"/>
      <c r="IO11" s="167"/>
      <c r="IP11" s="189"/>
      <c r="IQ11" s="189"/>
      <c r="IR11" s="189"/>
      <c r="IS11" s="189"/>
      <c r="IT11" s="167"/>
      <c r="IU11" s="189"/>
      <c r="IV11" s="189"/>
      <c r="IW11" s="189"/>
      <c r="IX11" s="189"/>
      <c r="IY11" s="167"/>
      <c r="IZ11" s="189"/>
      <c r="JA11" s="189"/>
      <c r="JB11" s="189"/>
      <c r="JC11" s="167"/>
      <c r="JD11" s="189"/>
      <c r="JE11" s="189"/>
      <c r="JF11" s="189"/>
      <c r="JG11" s="189"/>
      <c r="JH11" s="189"/>
      <c r="JI11" s="189"/>
      <c r="JJ11" s="189"/>
      <c r="JK11" s="189"/>
      <c r="JL11" s="189"/>
      <c r="JM11" s="189"/>
      <c r="JN11" s="189"/>
      <c r="JO11" s="167"/>
      <c r="JP11" s="189"/>
      <c r="JQ11" s="167"/>
      <c r="JR11" s="189"/>
      <c r="JS11" s="167"/>
      <c r="JT11" s="189"/>
      <c r="JU11" s="167"/>
      <c r="JV11" s="189"/>
      <c r="JW11" s="167"/>
      <c r="JX11" s="189"/>
      <c r="JY11" s="167"/>
      <c r="JZ11" s="189"/>
      <c r="KA11" s="167"/>
      <c r="KB11" s="189"/>
      <c r="KC11" s="167"/>
      <c r="KD11" s="189"/>
      <c r="KE11" s="167"/>
      <c r="KF11" s="189"/>
      <c r="KG11" s="167"/>
      <c r="KH11" s="201"/>
      <c r="KI11" s="167"/>
      <c r="KJ11" s="201"/>
      <c r="KK11" s="167"/>
      <c r="KL11" s="201"/>
      <c r="KM11" s="167"/>
      <c r="KN11" s="201"/>
      <c r="KO11" s="201"/>
      <c r="KP11" s="201"/>
      <c r="KQ11" s="157"/>
      <c r="KR11" s="201"/>
      <c r="KS11" s="157"/>
      <c r="KT11" s="201"/>
      <c r="KU11" s="157"/>
      <c r="KV11" s="201"/>
      <c r="KW11" s="157"/>
      <c r="KX11" s="201"/>
      <c r="KY11" s="157"/>
      <c r="KZ11" s="201"/>
      <c r="LA11" s="157"/>
      <c r="LB11" s="201"/>
      <c r="LC11" s="157"/>
      <c r="LD11" s="201"/>
      <c r="LE11" s="157"/>
      <c r="LF11" s="201"/>
      <c r="LG11" s="157"/>
      <c r="LH11" s="201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7"/>
      <c r="ML11" s="157"/>
      <c r="MM11" s="157"/>
      <c r="MN11" s="157"/>
      <c r="MO11" s="157"/>
      <c r="MP11" s="157"/>
      <c r="MQ11" s="157"/>
      <c r="MR11" s="157"/>
      <c r="MS11" s="157"/>
      <c r="MT11" s="157"/>
      <c r="MU11" s="157"/>
      <c r="MV11" s="157"/>
      <c r="MW11" s="157"/>
      <c r="MX11" s="157"/>
      <c r="MY11" s="157"/>
      <c r="MZ11" s="157"/>
      <c r="NA11" s="157"/>
      <c r="NB11" s="157"/>
      <c r="NC11" s="157"/>
      <c r="ND11" s="157"/>
      <c r="NE11" s="157"/>
      <c r="NF11" s="157"/>
      <c r="NG11" s="157"/>
      <c r="NH11" s="157"/>
      <c r="NI11" s="157"/>
      <c r="NJ11" s="157"/>
      <c r="NK11" s="157"/>
      <c r="NL11" s="157"/>
      <c r="NM11" s="157"/>
      <c r="NN11" s="157"/>
      <c r="NO11" s="157"/>
      <c r="NP11" s="157"/>
      <c r="NQ11" s="157"/>
      <c r="NR11" s="157"/>
      <c r="NS11" s="157"/>
      <c r="NT11" s="157"/>
      <c r="NU11" s="157"/>
      <c r="NV11" s="157"/>
      <c r="NW11" s="157"/>
      <c r="NX11" s="157"/>
      <c r="NY11" s="157"/>
      <c r="NZ11" s="157"/>
      <c r="OA11" s="157"/>
      <c r="OB11" s="157"/>
      <c r="OC11" s="157"/>
      <c r="OD11" s="157"/>
      <c r="OE11" s="157"/>
      <c r="OF11" s="157"/>
      <c r="OG11" s="157"/>
      <c r="OH11" s="157"/>
    </row>
    <row r="12" spans="1:398">
      <c r="A12" s="7"/>
      <c r="B12" s="13"/>
      <c r="C12" s="202"/>
      <c r="D12" s="82"/>
      <c r="E12" s="202"/>
      <c r="F12" s="357"/>
      <c r="G12" s="357"/>
      <c r="H12" s="202"/>
      <c r="I12" s="82"/>
      <c r="J12" s="202"/>
      <c r="K12" s="357"/>
      <c r="L12" s="357"/>
      <c r="M12" s="82"/>
      <c r="N12" s="202"/>
      <c r="O12" s="357"/>
      <c r="P12" s="357"/>
      <c r="Q12" s="82"/>
      <c r="R12" s="202"/>
      <c r="S12" s="357"/>
      <c r="T12" s="357"/>
      <c r="U12" s="82"/>
      <c r="V12" s="202"/>
      <c r="W12" s="82"/>
      <c r="X12" s="357"/>
      <c r="Y12" s="82"/>
      <c r="Z12" s="202"/>
      <c r="AA12" s="357"/>
      <c r="AB12" s="357"/>
      <c r="AC12" s="82"/>
      <c r="AD12" s="202"/>
      <c r="AE12" s="82"/>
      <c r="AF12" s="202"/>
      <c r="AG12" s="82"/>
      <c r="AH12" s="202"/>
      <c r="AI12" s="357"/>
      <c r="AJ12" s="202"/>
      <c r="AK12" s="82"/>
      <c r="AL12" s="202"/>
      <c r="AM12" s="357"/>
      <c r="AN12" s="357"/>
      <c r="AO12" s="82"/>
      <c r="AP12" s="202"/>
      <c r="AQ12" s="357"/>
      <c r="AR12" s="357"/>
      <c r="AS12" s="82"/>
      <c r="AT12" s="202"/>
      <c r="AU12" s="357"/>
      <c r="AV12" s="357"/>
      <c r="AW12" s="82"/>
      <c r="AX12" s="202"/>
      <c r="AY12" s="357"/>
      <c r="AZ12" s="357"/>
      <c r="BA12" s="82"/>
      <c r="BB12" s="202"/>
      <c r="BC12" s="357"/>
      <c r="BD12" s="357"/>
      <c r="BE12" s="82"/>
      <c r="BF12" s="202"/>
      <c r="BG12" s="357"/>
      <c r="BH12" s="357"/>
      <c r="BI12" s="82"/>
      <c r="BJ12" s="202"/>
      <c r="BK12" s="357"/>
      <c r="BL12" s="357"/>
      <c r="BM12" s="82"/>
      <c r="BN12" s="202"/>
      <c r="BO12" s="357"/>
      <c r="BP12" s="357"/>
      <c r="BQ12" s="82"/>
      <c r="BR12" s="202"/>
      <c r="BS12" s="357"/>
      <c r="BT12" s="357"/>
      <c r="BU12" s="82"/>
      <c r="BV12" s="202"/>
      <c r="BW12" s="357"/>
      <c r="BX12" s="357"/>
      <c r="BY12" s="82"/>
      <c r="BZ12" s="202"/>
      <c r="CA12" s="357"/>
      <c r="CB12" s="357"/>
      <c r="CC12" s="82"/>
      <c r="CD12" s="202"/>
      <c r="CE12" s="357"/>
      <c r="CF12" s="357"/>
      <c r="CG12" s="82"/>
      <c r="CH12" s="202"/>
      <c r="CI12" s="357"/>
      <c r="CJ12" s="357"/>
      <c r="CK12" s="82"/>
      <c r="CL12" s="202"/>
      <c r="CM12" s="357"/>
      <c r="CN12" s="357"/>
      <c r="CO12" s="82"/>
      <c r="CP12" s="202"/>
      <c r="CQ12" s="357"/>
      <c r="CR12" s="357"/>
      <c r="CS12" s="82"/>
      <c r="CT12" s="202"/>
      <c r="CU12" s="357"/>
      <c r="CV12" s="357"/>
      <c r="CW12" s="82"/>
      <c r="CX12" s="202"/>
      <c r="CY12" s="357"/>
      <c r="CZ12" s="357"/>
      <c r="DA12" s="82"/>
      <c r="DB12" s="202"/>
      <c r="DC12" s="357"/>
      <c r="DD12" s="357"/>
      <c r="DE12" s="82"/>
      <c r="DF12" s="202"/>
      <c r="DG12" s="357"/>
      <c r="DH12" s="357"/>
      <c r="DI12" s="82"/>
      <c r="DJ12" s="202"/>
      <c r="DK12" s="357"/>
      <c r="DL12" s="357"/>
      <c r="DM12" s="82"/>
      <c r="DN12" s="202"/>
      <c r="DO12" s="357"/>
      <c r="DP12" s="357"/>
      <c r="DQ12" s="82"/>
      <c r="DR12" s="202"/>
      <c r="DS12" s="357"/>
      <c r="DT12" s="357"/>
      <c r="DU12" s="82"/>
      <c r="DV12" s="202"/>
      <c r="DW12" s="357"/>
      <c r="DX12" s="13"/>
      <c r="DY12" s="82"/>
      <c r="DZ12" s="202"/>
      <c r="EA12" s="357"/>
      <c r="EB12" s="357"/>
      <c r="EC12" s="82"/>
      <c r="ED12" s="202"/>
      <c r="EE12" s="357"/>
      <c r="EF12" s="13"/>
      <c r="EG12" s="82"/>
      <c r="EH12" s="202"/>
      <c r="EI12" s="357"/>
      <c r="EJ12" s="357"/>
      <c r="EK12" s="82"/>
      <c r="EL12" s="202"/>
      <c r="EM12" s="357"/>
      <c r="EN12" s="357"/>
      <c r="EO12" s="82"/>
      <c r="EP12" s="202"/>
      <c r="EQ12" s="357"/>
      <c r="ER12" s="357"/>
      <c r="ES12" s="357"/>
      <c r="ET12" s="379"/>
      <c r="EU12" s="357"/>
      <c r="EV12" s="357"/>
      <c r="EW12" s="357"/>
      <c r="EX12" s="379"/>
      <c r="EY12" s="383"/>
      <c r="EZ12" s="357"/>
      <c r="FA12" s="357"/>
      <c r="FB12" s="379"/>
      <c r="FC12" s="357"/>
      <c r="FD12" s="357"/>
      <c r="FE12" s="357"/>
      <c r="FF12" s="379"/>
      <c r="FG12" s="357"/>
      <c r="FH12" s="357"/>
      <c r="FI12" s="357"/>
      <c r="FJ12" s="357"/>
      <c r="FK12" s="379"/>
      <c r="FL12" s="357"/>
      <c r="FM12" s="357"/>
      <c r="FN12" s="357"/>
      <c r="FO12" s="379"/>
      <c r="FP12" s="357"/>
      <c r="FQ12" s="357"/>
      <c r="FR12" s="357"/>
      <c r="FS12" s="379"/>
      <c r="FT12" s="357"/>
      <c r="FU12" s="357"/>
      <c r="FV12" s="357"/>
      <c r="FW12" s="379"/>
      <c r="FX12" s="357"/>
      <c r="FY12" s="357"/>
      <c r="FZ12" s="357"/>
      <c r="GA12" s="379"/>
      <c r="GB12" s="357"/>
      <c r="GC12" s="357"/>
      <c r="GD12" s="357"/>
      <c r="GE12" s="379"/>
      <c r="GF12" s="357"/>
      <c r="GG12" s="357"/>
      <c r="GH12" s="357"/>
      <c r="GI12" s="379"/>
      <c r="GJ12" s="357"/>
      <c r="GK12" s="13"/>
      <c r="GL12" s="189"/>
      <c r="GM12" s="202"/>
      <c r="GN12" s="189"/>
      <c r="GO12" s="189"/>
      <c r="GP12" s="189"/>
      <c r="GQ12" s="202"/>
      <c r="GR12" s="189"/>
      <c r="GS12" s="189"/>
      <c r="GT12" s="189"/>
      <c r="GU12" s="202"/>
      <c r="GV12" s="189"/>
      <c r="GW12" s="13"/>
      <c r="GX12" s="189"/>
      <c r="GY12" s="202"/>
      <c r="GZ12" s="189"/>
      <c r="HA12" s="189"/>
      <c r="HB12" s="189"/>
      <c r="HC12" s="202"/>
      <c r="HD12" s="189"/>
      <c r="HE12" s="189"/>
      <c r="HF12" s="189"/>
      <c r="HG12" s="202"/>
      <c r="HH12" s="189"/>
      <c r="HI12" s="189"/>
      <c r="HJ12" s="189"/>
      <c r="HK12" s="202"/>
      <c r="HL12" s="189"/>
      <c r="HM12" s="189"/>
      <c r="HN12" s="189"/>
      <c r="HO12" s="202"/>
      <c r="HP12" s="189"/>
      <c r="HQ12" s="189"/>
      <c r="HR12" s="189"/>
      <c r="HS12" s="202"/>
      <c r="HT12" s="189"/>
      <c r="HU12" s="189"/>
      <c r="HV12" s="189"/>
      <c r="HW12" s="202"/>
      <c r="HX12" s="189"/>
      <c r="HY12" s="189"/>
      <c r="HZ12" s="189"/>
      <c r="IA12" s="202"/>
      <c r="IB12" s="189"/>
      <c r="IC12" s="189"/>
      <c r="ID12" s="189"/>
      <c r="IE12" s="189"/>
      <c r="IF12" s="202"/>
      <c r="IG12" s="189"/>
      <c r="IH12" s="189"/>
      <c r="II12" s="189"/>
      <c r="IJ12" s="202"/>
      <c r="IK12" s="189"/>
      <c r="IL12" s="189"/>
      <c r="IM12" s="189"/>
      <c r="IN12" s="189"/>
      <c r="IO12" s="202"/>
      <c r="IP12" s="189"/>
      <c r="IQ12" s="189"/>
      <c r="IR12" s="189"/>
      <c r="IS12" s="189"/>
      <c r="IT12" s="202"/>
      <c r="IU12" s="189"/>
      <c r="IV12" s="189"/>
      <c r="IW12" s="189"/>
      <c r="IX12" s="189"/>
      <c r="IY12" s="202"/>
      <c r="IZ12" s="189"/>
      <c r="JA12" s="189"/>
      <c r="JB12" s="189"/>
      <c r="JC12" s="202"/>
      <c r="JD12" s="189"/>
      <c r="JE12" s="189"/>
      <c r="JF12" s="189"/>
      <c r="JG12" s="189"/>
      <c r="JH12" s="189"/>
      <c r="JI12" s="189"/>
      <c r="JJ12" s="189"/>
      <c r="JK12" s="189"/>
      <c r="JL12" s="189"/>
      <c r="JM12" s="189"/>
      <c r="JN12" s="189"/>
      <c r="JO12" s="202"/>
      <c r="JP12" s="189"/>
      <c r="JQ12" s="202"/>
      <c r="JR12" s="189"/>
      <c r="JS12" s="202"/>
      <c r="JT12" s="189"/>
      <c r="JU12" s="202"/>
      <c r="JV12" s="189"/>
      <c r="JW12" s="202"/>
      <c r="JX12" s="189"/>
      <c r="JY12" s="202"/>
      <c r="JZ12" s="189"/>
      <c r="KA12" s="202"/>
      <c r="KB12" s="189"/>
      <c r="KC12" s="202"/>
      <c r="KD12" s="189"/>
      <c r="KE12" s="202"/>
      <c r="KF12" s="189"/>
      <c r="KG12" s="202"/>
      <c r="KH12" s="167"/>
      <c r="KI12" s="202"/>
      <c r="KJ12" s="167"/>
      <c r="KK12" s="202"/>
      <c r="KL12" s="167"/>
      <c r="KM12" s="202"/>
      <c r="KN12" s="167"/>
      <c r="KO12" s="167"/>
      <c r="KP12" s="167"/>
      <c r="KQ12" s="157"/>
      <c r="KR12" s="167"/>
      <c r="KS12" s="157"/>
      <c r="KT12" s="167"/>
      <c r="KU12" s="157"/>
      <c r="KV12" s="167"/>
      <c r="KW12" s="157"/>
      <c r="KX12" s="203"/>
      <c r="KY12" s="157"/>
      <c r="KZ12" s="167"/>
      <c r="LA12" s="157"/>
      <c r="LB12" s="203"/>
      <c r="LC12" s="157"/>
      <c r="LD12" s="167"/>
      <c r="LE12" s="157"/>
      <c r="LF12" s="203"/>
      <c r="LG12" s="157"/>
      <c r="LH12" s="16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57"/>
      <c r="MG12" s="157"/>
      <c r="MH12" s="157"/>
      <c r="MI12" s="157"/>
      <c r="MJ12" s="157"/>
      <c r="MK12" s="157"/>
      <c r="ML12" s="157"/>
      <c r="MM12" s="157"/>
      <c r="MN12" s="157"/>
      <c r="MO12" s="157"/>
      <c r="MP12" s="157"/>
      <c r="MQ12" s="157"/>
      <c r="MR12" s="157"/>
      <c r="MS12" s="157"/>
      <c r="MT12" s="157"/>
      <c r="MU12" s="157"/>
      <c r="MV12" s="157"/>
      <c r="MW12" s="157"/>
      <c r="MX12" s="157"/>
      <c r="MY12" s="157"/>
      <c r="MZ12" s="157"/>
      <c r="NA12" s="157"/>
      <c r="NB12" s="157"/>
      <c r="NC12" s="157"/>
      <c r="ND12" s="157"/>
      <c r="NE12" s="157"/>
      <c r="NF12" s="157"/>
      <c r="NG12" s="157"/>
      <c r="NH12" s="157"/>
      <c r="NI12" s="157"/>
      <c r="NJ12" s="157"/>
      <c r="NK12" s="157"/>
      <c r="NL12" s="157"/>
      <c r="NM12" s="157"/>
      <c r="NN12" s="157"/>
      <c r="NO12" s="157"/>
      <c r="NP12" s="157"/>
      <c r="NQ12" s="157"/>
      <c r="NR12" s="157"/>
      <c r="NS12" s="157"/>
      <c r="NT12" s="157"/>
      <c r="NU12" s="157"/>
      <c r="NV12" s="157"/>
      <c r="NW12" s="157"/>
      <c r="NX12" s="157"/>
      <c r="NY12" s="157"/>
      <c r="NZ12" s="157"/>
      <c r="OA12" s="157"/>
      <c r="OB12" s="157"/>
      <c r="OC12" s="157"/>
      <c r="OD12" s="157"/>
      <c r="OE12" s="157"/>
      <c r="OF12" s="157"/>
      <c r="OG12" s="157"/>
      <c r="OH12" s="157"/>
    </row>
    <row r="13" spans="1:398">
      <c r="A13" s="7"/>
      <c r="B13" s="13"/>
      <c r="C13" s="185"/>
      <c r="D13" s="82"/>
      <c r="E13" s="185"/>
      <c r="F13" s="357"/>
      <c r="G13" s="357"/>
      <c r="H13" s="185"/>
      <c r="I13" s="82"/>
      <c r="J13" s="185"/>
      <c r="K13" s="357"/>
      <c r="L13" s="357"/>
      <c r="M13" s="82"/>
      <c r="N13" s="185"/>
      <c r="O13" s="357"/>
      <c r="P13" s="357"/>
      <c r="Q13" s="82"/>
      <c r="R13" s="185"/>
      <c r="S13" s="357"/>
      <c r="T13" s="357"/>
      <c r="U13" s="82"/>
      <c r="V13" s="185"/>
      <c r="W13" s="82"/>
      <c r="X13" s="357"/>
      <c r="Y13" s="82"/>
      <c r="Z13" s="185"/>
      <c r="AA13" s="357"/>
      <c r="AB13" s="357"/>
      <c r="AC13" s="82"/>
      <c r="AD13" s="185"/>
      <c r="AE13" s="82"/>
      <c r="AF13" s="185"/>
      <c r="AG13" s="82"/>
      <c r="AH13" s="185"/>
      <c r="AI13" s="357"/>
      <c r="AJ13" s="185"/>
      <c r="AK13" s="82"/>
      <c r="AL13" s="185"/>
      <c r="AM13" s="357"/>
      <c r="AN13" s="357"/>
      <c r="AO13" s="82"/>
      <c r="AP13" s="185"/>
      <c r="AQ13" s="357"/>
      <c r="AR13" s="357"/>
      <c r="AS13" s="82"/>
      <c r="AT13" s="185"/>
      <c r="AU13" s="357"/>
      <c r="AV13" s="357"/>
      <c r="AW13" s="82"/>
      <c r="AX13" s="185"/>
      <c r="AY13" s="357"/>
      <c r="AZ13" s="357"/>
      <c r="BA13" s="82"/>
      <c r="BB13" s="185"/>
      <c r="BC13" s="357"/>
      <c r="BD13" s="357"/>
      <c r="BE13" s="82"/>
      <c r="BF13" s="185"/>
      <c r="BG13" s="357"/>
      <c r="BH13" s="357"/>
      <c r="BI13" s="82"/>
      <c r="BJ13" s="185"/>
      <c r="BK13" s="357"/>
      <c r="BL13" s="357"/>
      <c r="BM13" s="82"/>
      <c r="BN13" s="185"/>
      <c r="BO13" s="357"/>
      <c r="BP13" s="357"/>
      <c r="BQ13" s="82"/>
      <c r="BR13" s="185"/>
      <c r="BS13" s="357"/>
      <c r="BT13" s="357"/>
      <c r="BU13" s="82"/>
      <c r="BV13" s="185"/>
      <c r="BW13" s="357"/>
      <c r="BX13" s="357"/>
      <c r="BY13" s="82"/>
      <c r="BZ13" s="185"/>
      <c r="CA13" s="357"/>
      <c r="CB13" s="357"/>
      <c r="CC13" s="82"/>
      <c r="CD13" s="185"/>
      <c r="CE13" s="357"/>
      <c r="CF13" s="357"/>
      <c r="CG13" s="82"/>
      <c r="CH13" s="185"/>
      <c r="CI13" s="357"/>
      <c r="CJ13" s="357"/>
      <c r="CK13" s="82"/>
      <c r="CL13" s="185"/>
      <c r="CM13" s="357"/>
      <c r="CN13" s="357"/>
      <c r="CO13" s="82"/>
      <c r="CP13" s="185"/>
      <c r="CQ13" s="357"/>
      <c r="CR13" s="357"/>
      <c r="CS13" s="82"/>
      <c r="CT13" s="185"/>
      <c r="CU13" s="357"/>
      <c r="CV13" s="357"/>
      <c r="CW13" s="82"/>
      <c r="CX13" s="185"/>
      <c r="CY13" s="357"/>
      <c r="CZ13" s="357"/>
      <c r="DA13" s="82"/>
      <c r="DB13" s="185"/>
      <c r="DC13" s="357"/>
      <c r="DD13" s="357"/>
      <c r="DE13" s="82"/>
      <c r="DF13" s="185"/>
      <c r="DG13" s="357"/>
      <c r="DH13" s="357"/>
      <c r="DI13" s="82"/>
      <c r="DJ13" s="185"/>
      <c r="DK13" s="357"/>
      <c r="DL13" s="357"/>
      <c r="DM13" s="82"/>
      <c r="DN13" s="185"/>
      <c r="DO13" s="357"/>
      <c r="DP13" s="357"/>
      <c r="DQ13" s="82"/>
      <c r="DR13" s="185"/>
      <c r="DS13" s="357"/>
      <c r="DT13" s="357"/>
      <c r="DU13" s="82"/>
      <c r="DV13" s="185"/>
      <c r="DW13" s="357"/>
      <c r="DX13" s="13"/>
      <c r="DY13" s="82"/>
      <c r="DZ13" s="185"/>
      <c r="EA13" s="357"/>
      <c r="EB13" s="357"/>
      <c r="EC13" s="82"/>
      <c r="ED13" s="185"/>
      <c r="EE13" s="357"/>
      <c r="EF13" s="13"/>
      <c r="EG13" s="82"/>
      <c r="EH13" s="185"/>
      <c r="EI13" s="357"/>
      <c r="EJ13" s="357"/>
      <c r="EK13" s="82"/>
      <c r="EL13" s="185"/>
      <c r="EM13" s="357"/>
      <c r="EN13" s="357"/>
      <c r="EO13" s="82"/>
      <c r="EP13" s="185"/>
      <c r="EQ13" s="357"/>
      <c r="ER13" s="357"/>
      <c r="ES13" s="357"/>
      <c r="ET13" s="375"/>
      <c r="EU13" s="357"/>
      <c r="EV13" s="357"/>
      <c r="EW13" s="357"/>
      <c r="EX13" s="375"/>
      <c r="EY13" s="383"/>
      <c r="EZ13" s="357"/>
      <c r="FA13" s="357"/>
      <c r="FB13" s="375"/>
      <c r="FC13" s="357"/>
      <c r="FD13" s="357"/>
      <c r="FE13" s="357"/>
      <c r="FF13" s="375"/>
      <c r="FG13" s="357"/>
      <c r="FH13" s="357"/>
      <c r="FI13" s="357"/>
      <c r="FJ13" s="357"/>
      <c r="FK13" s="375"/>
      <c r="FL13" s="357"/>
      <c r="FM13" s="357"/>
      <c r="FN13" s="357"/>
      <c r="FO13" s="375"/>
      <c r="FP13" s="357"/>
      <c r="FQ13" s="357"/>
      <c r="FR13" s="357"/>
      <c r="FS13" s="375"/>
      <c r="FT13" s="357"/>
      <c r="FU13" s="357"/>
      <c r="FV13" s="357"/>
      <c r="FW13" s="375"/>
      <c r="FX13" s="357"/>
      <c r="FY13" s="357"/>
      <c r="FZ13" s="357"/>
      <c r="GA13" s="375"/>
      <c r="GB13" s="357"/>
      <c r="GC13" s="357"/>
      <c r="GD13" s="357"/>
      <c r="GE13" s="375"/>
      <c r="GF13" s="357"/>
      <c r="GG13" s="357"/>
      <c r="GH13" s="357"/>
      <c r="GI13" s="375"/>
      <c r="GJ13" s="357"/>
      <c r="GK13" s="13"/>
      <c r="GL13" s="189"/>
      <c r="GM13" s="185"/>
      <c r="GN13" s="189"/>
      <c r="GO13" s="189"/>
      <c r="GP13" s="189"/>
      <c r="GQ13" s="185"/>
      <c r="GR13" s="189"/>
      <c r="GS13" s="189"/>
      <c r="GT13" s="189"/>
      <c r="GU13" s="185"/>
      <c r="GV13" s="189"/>
      <c r="GW13" s="13"/>
      <c r="GX13" s="189"/>
      <c r="GY13" s="185"/>
      <c r="GZ13" s="189"/>
      <c r="HA13" s="189"/>
      <c r="HB13" s="189"/>
      <c r="HC13" s="185"/>
      <c r="HD13" s="189"/>
      <c r="HE13" s="189"/>
      <c r="HF13" s="189"/>
      <c r="HG13" s="185"/>
      <c r="HH13" s="189"/>
      <c r="HI13" s="189"/>
      <c r="HJ13" s="189"/>
      <c r="HK13" s="185"/>
      <c r="HL13" s="189"/>
      <c r="HM13" s="189"/>
      <c r="HN13" s="189"/>
      <c r="HO13" s="185"/>
      <c r="HP13" s="189"/>
      <c r="HQ13" s="189"/>
      <c r="HR13" s="189"/>
      <c r="HS13" s="185"/>
      <c r="HT13" s="189"/>
      <c r="HU13" s="189"/>
      <c r="HV13" s="189"/>
      <c r="HW13" s="185"/>
      <c r="HX13" s="189"/>
      <c r="HY13" s="189"/>
      <c r="HZ13" s="189"/>
      <c r="IA13" s="185"/>
      <c r="IB13" s="189"/>
      <c r="IC13" s="189"/>
      <c r="ID13" s="189"/>
      <c r="IE13" s="189"/>
      <c r="IF13" s="185"/>
      <c r="IG13" s="189"/>
      <c r="IH13" s="189"/>
      <c r="II13" s="189"/>
      <c r="IJ13" s="185"/>
      <c r="IK13" s="189"/>
      <c r="IL13" s="189"/>
      <c r="IM13" s="189"/>
      <c r="IN13" s="189"/>
      <c r="IO13" s="185"/>
      <c r="IP13" s="189"/>
      <c r="IQ13" s="189"/>
      <c r="IR13" s="189"/>
      <c r="IS13" s="189"/>
      <c r="IT13" s="185"/>
      <c r="IU13" s="189"/>
      <c r="IV13" s="189"/>
      <c r="IW13" s="189"/>
      <c r="IX13" s="189"/>
      <c r="IY13" s="185"/>
      <c r="IZ13" s="189"/>
      <c r="JA13" s="189"/>
      <c r="JB13" s="189"/>
      <c r="JC13" s="185"/>
      <c r="JD13" s="189"/>
      <c r="JE13" s="189"/>
      <c r="JF13" s="189"/>
      <c r="JG13" s="189"/>
      <c r="JH13" s="189"/>
      <c r="JI13" s="189"/>
      <c r="JJ13" s="189"/>
      <c r="JK13" s="189"/>
      <c r="JL13" s="189"/>
      <c r="JM13" s="189"/>
      <c r="JN13" s="189"/>
      <c r="JO13" s="185"/>
      <c r="JP13" s="189"/>
      <c r="JQ13" s="185"/>
      <c r="JR13" s="189"/>
      <c r="JS13" s="185"/>
      <c r="JT13" s="189"/>
      <c r="JU13" s="185"/>
      <c r="JV13" s="189"/>
      <c r="JW13" s="185"/>
      <c r="JX13" s="189"/>
      <c r="JY13" s="185"/>
      <c r="JZ13" s="189"/>
      <c r="KA13" s="185"/>
      <c r="KB13" s="189"/>
      <c r="KC13" s="185"/>
      <c r="KD13" s="189"/>
      <c r="KE13" s="185"/>
      <c r="KF13" s="189"/>
      <c r="KG13" s="185"/>
      <c r="KH13" s="202"/>
      <c r="KI13" s="185"/>
      <c r="KJ13" s="202"/>
      <c r="KK13" s="185"/>
      <c r="KL13" s="202"/>
      <c r="KM13" s="185"/>
      <c r="KN13" s="202"/>
      <c r="KO13" s="202"/>
      <c r="KP13" s="202"/>
      <c r="KQ13" s="157"/>
      <c r="KR13" s="202"/>
      <c r="KS13" s="157"/>
      <c r="KT13" s="202"/>
      <c r="KU13" s="157"/>
      <c r="KV13" s="202"/>
      <c r="KW13" s="157"/>
      <c r="KX13" s="202"/>
      <c r="KY13" s="157"/>
      <c r="KZ13" s="202"/>
      <c r="LA13" s="157"/>
      <c r="LB13" s="202"/>
      <c r="LC13" s="157"/>
      <c r="LD13" s="202"/>
      <c r="LE13" s="157"/>
      <c r="LF13" s="202"/>
      <c r="LG13" s="157"/>
      <c r="LH13" s="202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  <c r="MJ13" s="157"/>
      <c r="MK13" s="157"/>
      <c r="ML13" s="157"/>
      <c r="MM13" s="157"/>
      <c r="MN13" s="157"/>
      <c r="MO13" s="157"/>
      <c r="MP13" s="157"/>
      <c r="MQ13" s="157"/>
      <c r="MR13" s="157"/>
      <c r="MS13" s="157"/>
      <c r="MT13" s="157"/>
      <c r="MU13" s="157"/>
      <c r="MV13" s="157"/>
      <c r="MW13" s="157"/>
      <c r="MX13" s="157"/>
      <c r="MY13" s="157"/>
      <c r="MZ13" s="157"/>
      <c r="NA13" s="157"/>
      <c r="NB13" s="157"/>
      <c r="NC13" s="157"/>
      <c r="ND13" s="157"/>
      <c r="NE13" s="157"/>
      <c r="NF13" s="157"/>
      <c r="NG13" s="157"/>
      <c r="NH13" s="157"/>
      <c r="NI13" s="157"/>
      <c r="NJ13" s="157"/>
      <c r="NK13" s="157"/>
      <c r="NL13" s="157"/>
      <c r="NM13" s="157"/>
      <c r="NN13" s="157"/>
      <c r="NO13" s="157"/>
      <c r="NP13" s="157"/>
      <c r="NQ13" s="157"/>
      <c r="NR13" s="157"/>
      <c r="NS13" s="157"/>
      <c r="NT13" s="157"/>
      <c r="NU13" s="157"/>
      <c r="NV13" s="157"/>
      <c r="NW13" s="157"/>
      <c r="NX13" s="157"/>
      <c r="NY13" s="157"/>
      <c r="NZ13" s="157"/>
      <c r="OA13" s="157"/>
      <c r="OB13" s="157"/>
      <c r="OC13" s="157"/>
      <c r="OD13" s="157"/>
      <c r="OE13" s="157"/>
      <c r="OF13" s="157"/>
      <c r="OG13" s="157"/>
      <c r="OH13" s="157"/>
    </row>
    <row r="14" spans="1:398">
      <c r="A14" s="7"/>
      <c r="B14" s="13"/>
      <c r="C14" s="194"/>
      <c r="D14" s="82"/>
      <c r="E14" s="194"/>
      <c r="F14" s="357"/>
      <c r="G14" s="357"/>
      <c r="H14" s="194"/>
      <c r="I14" s="82"/>
      <c r="J14" s="194"/>
      <c r="K14" s="357"/>
      <c r="L14" s="357"/>
      <c r="M14" s="82"/>
      <c r="N14" s="194"/>
      <c r="O14" s="357"/>
      <c r="P14" s="357"/>
      <c r="Q14" s="82"/>
      <c r="R14" s="194"/>
      <c r="S14" s="357"/>
      <c r="T14" s="357"/>
      <c r="U14" s="82"/>
      <c r="V14" s="194"/>
      <c r="W14" s="82"/>
      <c r="X14" s="357"/>
      <c r="Y14" s="82"/>
      <c r="Z14" s="194"/>
      <c r="AA14" s="357"/>
      <c r="AB14" s="357"/>
      <c r="AC14" s="82"/>
      <c r="AD14" s="194"/>
      <c r="AE14" s="82"/>
      <c r="AF14" s="194"/>
      <c r="AG14" s="82"/>
      <c r="AH14" s="194"/>
      <c r="AI14" s="357"/>
      <c r="AJ14" s="194"/>
      <c r="AK14" s="82"/>
      <c r="AL14" s="194"/>
      <c r="AM14" s="357"/>
      <c r="AN14" s="357"/>
      <c r="AO14" s="82"/>
      <c r="AP14" s="194"/>
      <c r="AQ14" s="357"/>
      <c r="AR14" s="357"/>
      <c r="AS14" s="82"/>
      <c r="AT14" s="194"/>
      <c r="AU14" s="357"/>
      <c r="AV14" s="357"/>
      <c r="AW14" s="82"/>
      <c r="AX14" s="194"/>
      <c r="AY14" s="357"/>
      <c r="AZ14" s="357"/>
      <c r="BA14" s="82"/>
      <c r="BB14" s="194"/>
      <c r="BC14" s="357"/>
      <c r="BD14" s="357"/>
      <c r="BE14" s="82"/>
      <c r="BF14" s="194"/>
      <c r="BG14" s="357"/>
      <c r="BH14" s="357"/>
      <c r="BI14" s="82"/>
      <c r="BJ14" s="194"/>
      <c r="BK14" s="357"/>
      <c r="BL14" s="357"/>
      <c r="BM14" s="82"/>
      <c r="BN14" s="194"/>
      <c r="BO14" s="357"/>
      <c r="BP14" s="357"/>
      <c r="BQ14" s="82"/>
      <c r="BR14" s="194"/>
      <c r="BS14" s="357"/>
      <c r="BT14" s="357"/>
      <c r="BU14" s="82"/>
      <c r="BV14" s="194"/>
      <c r="BW14" s="357"/>
      <c r="BX14" s="357"/>
      <c r="BY14" s="82"/>
      <c r="BZ14" s="194"/>
      <c r="CA14" s="357"/>
      <c r="CB14" s="357"/>
      <c r="CC14" s="82"/>
      <c r="CD14" s="194"/>
      <c r="CE14" s="357"/>
      <c r="CF14" s="357"/>
      <c r="CG14" s="82"/>
      <c r="CH14" s="194"/>
      <c r="CI14" s="357"/>
      <c r="CJ14" s="357"/>
      <c r="CK14" s="82"/>
      <c r="CL14" s="194"/>
      <c r="CM14" s="357"/>
      <c r="CN14" s="357"/>
      <c r="CO14" s="82"/>
      <c r="CP14" s="194"/>
      <c r="CQ14" s="357"/>
      <c r="CR14" s="357"/>
      <c r="CS14" s="82"/>
      <c r="CT14" s="194"/>
      <c r="CU14" s="357"/>
      <c r="CV14" s="357"/>
      <c r="CW14" s="82"/>
      <c r="CX14" s="194"/>
      <c r="CY14" s="357"/>
      <c r="CZ14" s="357"/>
      <c r="DA14" s="82"/>
      <c r="DB14" s="194"/>
      <c r="DC14" s="357"/>
      <c r="DD14" s="357"/>
      <c r="DE14" s="82"/>
      <c r="DF14" s="194"/>
      <c r="DG14" s="357"/>
      <c r="DH14" s="357"/>
      <c r="DI14" s="82"/>
      <c r="DJ14" s="194"/>
      <c r="DK14" s="357"/>
      <c r="DL14" s="357"/>
      <c r="DM14" s="82"/>
      <c r="DN14" s="194"/>
      <c r="DO14" s="357"/>
      <c r="DP14" s="357"/>
      <c r="DQ14" s="82"/>
      <c r="DR14" s="194"/>
      <c r="DS14" s="357"/>
      <c r="DT14" s="357"/>
      <c r="DU14" s="82"/>
      <c r="DV14" s="194"/>
      <c r="DW14" s="357"/>
      <c r="DX14" s="13"/>
      <c r="DY14" s="82"/>
      <c r="DZ14" s="194"/>
      <c r="EA14" s="357"/>
      <c r="EB14" s="357"/>
      <c r="EC14" s="82"/>
      <c r="ED14" s="194"/>
      <c r="EE14" s="357"/>
      <c r="EF14" s="13"/>
      <c r="EG14" s="82"/>
      <c r="EH14" s="194"/>
      <c r="EI14" s="357"/>
      <c r="EJ14" s="357"/>
      <c r="EK14" s="82"/>
      <c r="EL14" s="194"/>
      <c r="EM14" s="357"/>
      <c r="EN14" s="357"/>
      <c r="EO14" s="82"/>
      <c r="EP14" s="194"/>
      <c r="EQ14" s="357"/>
      <c r="ER14" s="357"/>
      <c r="ES14" s="357"/>
      <c r="ET14" s="142"/>
      <c r="EU14" s="357"/>
      <c r="EV14" s="357"/>
      <c r="EW14" s="357"/>
      <c r="EX14" s="142"/>
      <c r="EY14" s="383"/>
      <c r="EZ14" s="357"/>
      <c r="FA14" s="357"/>
      <c r="FB14" s="142"/>
      <c r="FC14" s="357"/>
      <c r="FD14" s="357"/>
      <c r="FE14" s="357"/>
      <c r="FF14" s="142"/>
      <c r="FG14" s="357"/>
      <c r="FH14" s="357"/>
      <c r="FI14" s="357"/>
      <c r="FJ14" s="357"/>
      <c r="FK14" s="142"/>
      <c r="FL14" s="357"/>
      <c r="FM14" s="357"/>
      <c r="FN14" s="357"/>
      <c r="FO14" s="142"/>
      <c r="FP14" s="357"/>
      <c r="FQ14" s="357"/>
      <c r="FR14" s="357"/>
      <c r="FS14" s="142"/>
      <c r="FT14" s="357"/>
      <c r="FU14" s="357"/>
      <c r="FV14" s="357"/>
      <c r="FW14" s="142"/>
      <c r="FX14" s="357"/>
      <c r="FY14" s="357"/>
      <c r="FZ14" s="357"/>
      <c r="GA14" s="142"/>
      <c r="GB14" s="357"/>
      <c r="GC14" s="357"/>
      <c r="GD14" s="357"/>
      <c r="GE14" s="142"/>
      <c r="GF14" s="357"/>
      <c r="GG14" s="357"/>
      <c r="GH14" s="357"/>
      <c r="GI14" s="142"/>
      <c r="GJ14" s="357"/>
      <c r="GK14" s="13"/>
      <c r="GL14" s="189"/>
      <c r="GM14" s="194"/>
      <c r="GN14" s="189"/>
      <c r="GO14" s="189"/>
      <c r="GP14" s="189"/>
      <c r="GQ14" s="194"/>
      <c r="GR14" s="189"/>
      <c r="GS14" s="189"/>
      <c r="GT14" s="189"/>
      <c r="GU14" s="194"/>
      <c r="GV14" s="189"/>
      <c r="GW14" s="13"/>
      <c r="GX14" s="189"/>
      <c r="GY14" s="194"/>
      <c r="GZ14" s="189"/>
      <c r="HA14" s="189"/>
      <c r="HB14" s="189"/>
      <c r="HC14" s="194"/>
      <c r="HD14" s="189"/>
      <c r="HE14" s="189"/>
      <c r="HF14" s="189"/>
      <c r="HG14" s="194"/>
      <c r="HH14" s="189"/>
      <c r="HI14" s="189"/>
      <c r="HJ14" s="189"/>
      <c r="HK14" s="194"/>
      <c r="HL14" s="189"/>
      <c r="HM14" s="189"/>
      <c r="HN14" s="189"/>
      <c r="HO14" s="194"/>
      <c r="HP14" s="189"/>
      <c r="HQ14" s="189"/>
      <c r="HR14" s="189"/>
      <c r="HS14" s="194"/>
      <c r="HT14" s="189"/>
      <c r="HU14" s="189"/>
      <c r="HV14" s="189"/>
      <c r="HW14" s="194"/>
      <c r="HX14" s="189"/>
      <c r="HY14" s="189"/>
      <c r="HZ14" s="189"/>
      <c r="IA14" s="194"/>
      <c r="IB14" s="189"/>
      <c r="IC14" s="189"/>
      <c r="ID14" s="189"/>
      <c r="IE14" s="189"/>
      <c r="IF14" s="194"/>
      <c r="IG14" s="189"/>
      <c r="IH14" s="189"/>
      <c r="II14" s="189"/>
      <c r="IJ14" s="194"/>
      <c r="IK14" s="189"/>
      <c r="IL14" s="189"/>
      <c r="IM14" s="189"/>
      <c r="IN14" s="189"/>
      <c r="IO14" s="194"/>
      <c r="IP14" s="189"/>
      <c r="IQ14" s="189"/>
      <c r="IR14" s="189"/>
      <c r="IS14" s="189"/>
      <c r="IT14" s="194"/>
      <c r="IU14" s="189"/>
      <c r="IV14" s="189"/>
      <c r="IW14" s="189"/>
      <c r="IX14" s="189"/>
      <c r="IY14" s="194"/>
      <c r="IZ14" s="189"/>
      <c r="JA14" s="189"/>
      <c r="JB14" s="189"/>
      <c r="JC14" s="194"/>
      <c r="JD14" s="189"/>
      <c r="JE14" s="189"/>
      <c r="JF14" s="189"/>
      <c r="JG14" s="189"/>
      <c r="JH14" s="189"/>
      <c r="JI14" s="189"/>
      <c r="JJ14" s="189"/>
      <c r="JK14" s="189"/>
      <c r="JL14" s="189"/>
      <c r="JM14" s="189"/>
      <c r="JN14" s="189"/>
      <c r="JO14" s="194"/>
      <c r="JP14" s="189"/>
      <c r="JQ14" s="194"/>
      <c r="JR14" s="189"/>
      <c r="JS14" s="194"/>
      <c r="JT14" s="189"/>
      <c r="JU14" s="194"/>
      <c r="JV14" s="189"/>
      <c r="JW14" s="194"/>
      <c r="JX14" s="189"/>
      <c r="JY14" s="194"/>
      <c r="JZ14" s="189"/>
      <c r="KA14" s="194"/>
      <c r="KB14" s="189"/>
      <c r="KC14" s="194"/>
      <c r="KD14" s="189"/>
      <c r="KE14" s="194"/>
      <c r="KF14" s="189"/>
      <c r="KG14" s="194"/>
      <c r="KH14" s="185"/>
      <c r="KI14" s="194"/>
      <c r="KJ14" s="185"/>
      <c r="KK14" s="194"/>
      <c r="KL14" s="185"/>
      <c r="KM14" s="194"/>
      <c r="KN14" s="185"/>
      <c r="KO14" s="185"/>
      <c r="KP14" s="185"/>
      <c r="KQ14" s="157"/>
      <c r="KR14" s="185"/>
      <c r="KS14" s="157"/>
      <c r="KT14" s="185"/>
      <c r="KU14" s="157"/>
      <c r="KV14" s="185"/>
      <c r="KW14" s="157"/>
      <c r="KX14" s="185"/>
      <c r="KY14" s="157"/>
      <c r="KZ14" s="185"/>
      <c r="LA14" s="157"/>
      <c r="LB14" s="185"/>
      <c r="LC14" s="157"/>
      <c r="LD14" s="185"/>
      <c r="LE14" s="157"/>
      <c r="LF14" s="185"/>
      <c r="LG14" s="157"/>
      <c r="LH14" s="185"/>
      <c r="LI14" s="157"/>
      <c r="LJ14" s="157"/>
      <c r="LK14" s="157"/>
      <c r="LL14" s="157"/>
      <c r="LM14" s="157"/>
      <c r="LN14" s="157"/>
      <c r="LO14" s="157"/>
      <c r="LP14" s="157"/>
      <c r="LQ14" s="157"/>
      <c r="LR14" s="157"/>
      <c r="LS14" s="157"/>
      <c r="LT14" s="157"/>
      <c r="LU14" s="157"/>
      <c r="LV14" s="157"/>
      <c r="LW14" s="157"/>
      <c r="LX14" s="157"/>
      <c r="LY14" s="157"/>
      <c r="LZ14" s="157"/>
      <c r="MA14" s="157"/>
      <c r="MB14" s="157"/>
      <c r="MC14" s="157"/>
      <c r="MD14" s="157"/>
      <c r="ME14" s="157"/>
      <c r="MF14" s="157"/>
      <c r="MG14" s="157"/>
      <c r="MH14" s="157"/>
      <c r="MI14" s="157"/>
      <c r="MJ14" s="157"/>
      <c r="MK14" s="157"/>
      <c r="ML14" s="157"/>
      <c r="MM14" s="157"/>
      <c r="MN14" s="157"/>
      <c r="MO14" s="157"/>
      <c r="MP14" s="157"/>
      <c r="MQ14" s="157"/>
      <c r="MR14" s="157"/>
      <c r="MS14" s="157"/>
      <c r="MT14" s="157"/>
      <c r="MU14" s="157"/>
      <c r="MV14" s="157"/>
      <c r="MW14" s="157"/>
      <c r="MX14" s="157"/>
      <c r="MY14" s="157"/>
      <c r="MZ14" s="157"/>
      <c r="NA14" s="157"/>
      <c r="NB14" s="157"/>
      <c r="NC14" s="157"/>
      <c r="ND14" s="157"/>
      <c r="NE14" s="157"/>
      <c r="NF14" s="157"/>
      <c r="NG14" s="157"/>
      <c r="NH14" s="157"/>
      <c r="NI14" s="157"/>
      <c r="NJ14" s="157"/>
      <c r="NK14" s="157"/>
      <c r="NL14" s="157"/>
      <c r="NM14" s="157"/>
      <c r="NN14" s="157"/>
      <c r="NO14" s="157"/>
      <c r="NP14" s="157"/>
      <c r="NQ14" s="157"/>
      <c r="NR14" s="157"/>
      <c r="NS14" s="157"/>
      <c r="NT14" s="157"/>
      <c r="NU14" s="157"/>
      <c r="NV14" s="157"/>
      <c r="NW14" s="157"/>
      <c r="NX14" s="157"/>
      <c r="NY14" s="157"/>
      <c r="NZ14" s="157"/>
      <c r="OA14" s="157"/>
      <c r="OB14" s="157"/>
      <c r="OC14" s="157"/>
      <c r="OD14" s="157"/>
      <c r="OE14" s="157"/>
      <c r="OF14" s="157"/>
      <c r="OG14" s="157"/>
      <c r="OH14" s="157"/>
    </row>
    <row r="15" spans="1:398">
      <c r="A15" s="7"/>
      <c r="B15" s="13"/>
      <c r="D15" s="82"/>
      <c r="F15" s="357"/>
      <c r="G15" s="357"/>
      <c r="I15" s="82"/>
      <c r="K15" s="357"/>
      <c r="L15" s="357"/>
      <c r="M15" s="82"/>
      <c r="O15" s="357"/>
      <c r="P15" s="357"/>
      <c r="Q15" s="82"/>
      <c r="S15" s="357"/>
      <c r="T15" s="357"/>
      <c r="U15" s="82"/>
      <c r="W15" s="82"/>
      <c r="X15" s="357"/>
      <c r="Y15" s="82"/>
      <c r="AA15" s="357"/>
      <c r="AB15" s="357"/>
      <c r="AC15" s="82"/>
      <c r="AE15" s="82"/>
      <c r="AG15" s="82"/>
      <c r="AI15" s="357"/>
      <c r="AK15" s="82"/>
      <c r="AM15" s="357"/>
      <c r="AN15" s="357"/>
      <c r="AO15" s="82"/>
      <c r="AQ15" s="357"/>
      <c r="AR15" s="357"/>
      <c r="AS15" s="82"/>
      <c r="AU15" s="357"/>
      <c r="AV15" s="357"/>
      <c r="AW15" s="82"/>
      <c r="AY15" s="357"/>
      <c r="AZ15" s="357"/>
      <c r="BA15" s="82"/>
      <c r="BC15" s="357"/>
      <c r="BD15" s="357"/>
      <c r="BE15" s="82"/>
      <c r="BG15" s="357"/>
      <c r="BH15" s="357"/>
      <c r="BI15" s="82"/>
      <c r="BK15" s="357"/>
      <c r="BL15" s="357"/>
      <c r="BM15" s="82"/>
      <c r="BO15" s="357"/>
      <c r="BP15" s="357"/>
      <c r="BQ15" s="82"/>
      <c r="BS15" s="357"/>
      <c r="BT15" s="357"/>
      <c r="BU15" s="82"/>
      <c r="BW15" s="357"/>
      <c r="BX15" s="357"/>
      <c r="BY15" s="82"/>
      <c r="CA15" s="357"/>
      <c r="CB15" s="357"/>
      <c r="CC15" s="82"/>
      <c r="CE15" s="357"/>
      <c r="CF15" s="357"/>
      <c r="CG15" s="82"/>
      <c r="CI15" s="357"/>
      <c r="CJ15" s="357"/>
      <c r="CK15" s="82"/>
      <c r="CM15" s="357"/>
      <c r="CN15" s="357"/>
      <c r="CO15" s="82"/>
      <c r="CQ15" s="357"/>
      <c r="CR15" s="357"/>
      <c r="CS15" s="82"/>
      <c r="CU15" s="357"/>
      <c r="CV15" s="357"/>
      <c r="CW15" s="82"/>
      <c r="CY15" s="357"/>
      <c r="CZ15" s="357"/>
      <c r="DA15" s="82"/>
      <c r="DC15" s="357"/>
      <c r="DD15" s="357"/>
      <c r="DE15" s="82"/>
      <c r="DG15" s="357"/>
      <c r="DH15" s="357"/>
      <c r="DI15" s="82"/>
      <c r="DK15" s="357"/>
      <c r="DL15" s="357"/>
      <c r="DM15" s="82"/>
      <c r="DO15" s="357"/>
      <c r="DP15" s="357"/>
      <c r="DQ15" s="82"/>
      <c r="DS15" s="357"/>
      <c r="DT15" s="357"/>
      <c r="DU15" s="82"/>
      <c r="DW15" s="357"/>
      <c r="DX15" s="13"/>
      <c r="DY15" s="82"/>
      <c r="EA15" s="357"/>
      <c r="EB15" s="357"/>
      <c r="EC15" s="82"/>
      <c r="EE15" s="357"/>
      <c r="EF15" s="13"/>
      <c r="EG15" s="82"/>
      <c r="EI15" s="357"/>
      <c r="EJ15" s="357"/>
      <c r="EK15" s="82"/>
      <c r="EM15" s="357"/>
      <c r="EN15" s="357"/>
      <c r="EO15" s="82"/>
      <c r="EQ15" s="357"/>
      <c r="ER15" s="357"/>
      <c r="ES15" s="357"/>
      <c r="EU15" s="357"/>
      <c r="EV15" s="357"/>
      <c r="EW15" s="357"/>
      <c r="EY15" s="383"/>
      <c r="EZ15" s="357"/>
      <c r="FA15" s="357"/>
      <c r="FC15" s="357"/>
      <c r="FD15" s="357"/>
      <c r="FE15" s="357"/>
      <c r="FG15" s="357"/>
      <c r="FH15" s="357"/>
      <c r="FI15" s="357"/>
      <c r="FJ15" s="357"/>
      <c r="FL15" s="357"/>
      <c r="FM15" s="357"/>
      <c r="FN15" s="357"/>
      <c r="FP15" s="357"/>
      <c r="FQ15" s="357"/>
      <c r="FR15" s="357"/>
      <c r="FT15" s="357"/>
      <c r="FU15" s="357"/>
      <c r="FV15" s="357"/>
      <c r="FX15" s="357"/>
      <c r="FY15" s="357"/>
      <c r="FZ15" s="357"/>
      <c r="GB15" s="357"/>
      <c r="GC15" s="357"/>
      <c r="GD15" s="357"/>
      <c r="GF15" s="357"/>
      <c r="GG15" s="357"/>
      <c r="GH15" s="357"/>
      <c r="GJ15" s="357"/>
      <c r="GK15" s="13"/>
      <c r="GL15" s="189"/>
      <c r="GN15" s="189"/>
      <c r="GO15" s="189"/>
      <c r="GP15" s="189"/>
      <c r="GR15" s="189"/>
      <c r="GS15" s="189"/>
      <c r="GT15" s="189"/>
      <c r="GV15" s="189"/>
      <c r="GW15" s="13"/>
      <c r="GX15" s="189"/>
      <c r="GY15" s="157"/>
      <c r="GZ15" s="189"/>
      <c r="HA15" s="189"/>
      <c r="HB15" s="189"/>
      <c r="HC15" s="157"/>
      <c r="HD15" s="189"/>
      <c r="HE15" s="189"/>
      <c r="HF15" s="189"/>
      <c r="HG15" s="157"/>
      <c r="HH15" s="189"/>
      <c r="HI15" s="189"/>
      <c r="HJ15" s="189"/>
      <c r="HK15" s="157"/>
      <c r="HL15" s="189"/>
      <c r="HM15" s="189"/>
      <c r="HN15" s="189"/>
      <c r="HO15" s="157"/>
      <c r="HP15" s="189"/>
      <c r="HQ15" s="189"/>
      <c r="HR15" s="189"/>
      <c r="HS15" s="157"/>
      <c r="HT15" s="189"/>
      <c r="HU15" s="189"/>
      <c r="HV15" s="189"/>
      <c r="HW15" s="157"/>
      <c r="HX15" s="189"/>
      <c r="HY15" s="189"/>
      <c r="HZ15" s="189"/>
      <c r="IA15" s="157"/>
      <c r="IB15" s="189"/>
      <c r="IC15" s="189"/>
      <c r="ID15" s="189"/>
      <c r="IE15" s="189"/>
      <c r="IF15" s="157"/>
      <c r="IG15" s="189"/>
      <c r="IH15" s="189"/>
      <c r="II15" s="189"/>
      <c r="IJ15" s="157"/>
      <c r="IK15" s="189"/>
      <c r="IL15" s="189"/>
      <c r="IM15" s="189"/>
      <c r="IN15" s="189"/>
      <c r="IO15" s="157"/>
      <c r="IP15" s="189"/>
      <c r="IQ15" s="189"/>
      <c r="IR15" s="189"/>
      <c r="IS15" s="189"/>
      <c r="IT15" s="157"/>
      <c r="IU15" s="189"/>
      <c r="IV15" s="189"/>
      <c r="IW15" s="189"/>
      <c r="IX15" s="189"/>
      <c r="IY15" s="157"/>
      <c r="IZ15" s="189"/>
      <c r="JA15" s="189"/>
      <c r="JB15" s="189"/>
      <c r="JC15" s="157"/>
      <c r="JD15" s="189"/>
      <c r="JE15" s="189"/>
      <c r="JF15" s="189"/>
      <c r="JG15" s="189"/>
      <c r="JH15" s="189"/>
      <c r="JI15" s="189"/>
      <c r="JJ15" s="189"/>
      <c r="JK15" s="189"/>
      <c r="JL15" s="189"/>
      <c r="JM15" s="189"/>
      <c r="JN15" s="189"/>
      <c r="JO15" s="157"/>
      <c r="JP15" s="189"/>
      <c r="JQ15" s="157"/>
      <c r="JR15" s="189"/>
      <c r="JS15" s="157"/>
      <c r="JT15" s="189"/>
      <c r="JU15" s="157"/>
      <c r="JV15" s="189"/>
      <c r="JW15" s="157"/>
      <c r="JX15" s="189"/>
      <c r="JY15" s="157"/>
      <c r="JZ15" s="189"/>
      <c r="KA15" s="157"/>
      <c r="KB15" s="189"/>
      <c r="KC15" s="157"/>
      <c r="KD15" s="189"/>
      <c r="KE15" s="157"/>
      <c r="KF15" s="189"/>
      <c r="KG15" s="157"/>
      <c r="KH15" s="194"/>
      <c r="KI15" s="157"/>
      <c r="KJ15" s="194"/>
      <c r="KK15" s="157"/>
      <c r="KL15" s="194"/>
      <c r="KM15" s="157"/>
      <c r="KN15" s="194"/>
      <c r="KO15" s="194"/>
      <c r="KP15" s="194"/>
      <c r="KQ15" s="157"/>
      <c r="KR15" s="194"/>
      <c r="KS15" s="157"/>
      <c r="KT15" s="194"/>
      <c r="KU15" s="157"/>
      <c r="KV15" s="194"/>
      <c r="KW15" s="157"/>
      <c r="KX15" s="194"/>
      <c r="KY15" s="157"/>
      <c r="KZ15" s="194"/>
      <c r="LA15" s="157"/>
      <c r="LB15" s="194"/>
      <c r="LC15" s="157"/>
      <c r="LD15" s="194"/>
      <c r="LE15" s="157"/>
      <c r="LF15" s="194"/>
      <c r="LG15" s="157"/>
      <c r="LH15" s="194"/>
      <c r="LI15" s="157"/>
      <c r="LJ15" s="157"/>
      <c r="LK15" s="157"/>
      <c r="LL15" s="157"/>
      <c r="LM15" s="157"/>
      <c r="LN15" s="157"/>
      <c r="LO15" s="157"/>
      <c r="LP15" s="157"/>
      <c r="LQ15" s="157"/>
      <c r="LR15" s="157"/>
      <c r="LS15" s="157"/>
      <c r="LT15" s="157"/>
      <c r="LU15" s="157"/>
      <c r="LV15" s="157"/>
      <c r="LW15" s="157"/>
      <c r="LX15" s="157"/>
      <c r="LY15" s="157"/>
      <c r="LZ15" s="157"/>
      <c r="MA15" s="157"/>
      <c r="MB15" s="157"/>
      <c r="MC15" s="157"/>
      <c r="MD15" s="157"/>
      <c r="ME15" s="157"/>
      <c r="MF15" s="157"/>
      <c r="MG15" s="157"/>
      <c r="MH15" s="157"/>
      <c r="MI15" s="157"/>
      <c r="MJ15" s="157"/>
      <c r="MK15" s="157"/>
      <c r="ML15" s="157"/>
      <c r="MM15" s="157"/>
      <c r="MN15" s="157"/>
      <c r="MO15" s="157"/>
      <c r="MP15" s="157"/>
      <c r="MQ15" s="157"/>
      <c r="MR15" s="157"/>
      <c r="MS15" s="157"/>
      <c r="MT15" s="157"/>
      <c r="MU15" s="157"/>
      <c r="MV15" s="157"/>
      <c r="MW15" s="157"/>
      <c r="MX15" s="157"/>
      <c r="MY15" s="157"/>
      <c r="MZ15" s="157"/>
      <c r="NA15" s="157"/>
      <c r="NB15" s="157"/>
      <c r="NC15" s="157"/>
      <c r="ND15" s="157"/>
      <c r="NE15" s="157"/>
      <c r="NF15" s="157"/>
      <c r="NG15" s="157"/>
      <c r="NH15" s="157"/>
      <c r="NI15" s="157"/>
      <c r="NJ15" s="157"/>
      <c r="NK15" s="157"/>
      <c r="NL15" s="157"/>
      <c r="NM15" s="157"/>
      <c r="NN15" s="157"/>
      <c r="NO15" s="157"/>
      <c r="NP15" s="157"/>
      <c r="NQ15" s="157"/>
      <c r="NR15" s="157"/>
      <c r="NS15" s="157"/>
      <c r="NT15" s="157"/>
      <c r="NU15" s="157"/>
      <c r="NV15" s="157"/>
      <c r="NW15" s="157"/>
      <c r="NX15" s="157"/>
      <c r="NY15" s="157"/>
      <c r="NZ15" s="157"/>
      <c r="OA15" s="157"/>
      <c r="OB15" s="157"/>
      <c r="OC15" s="157"/>
      <c r="OD15" s="157"/>
      <c r="OE15" s="157"/>
      <c r="OF15" s="157"/>
      <c r="OG15" s="157"/>
      <c r="OH15" s="157"/>
    </row>
    <row r="16" spans="1:398">
      <c r="A16" s="7"/>
      <c r="B16" s="13"/>
      <c r="D16" s="82"/>
      <c r="F16" s="357"/>
      <c r="G16" s="357"/>
      <c r="I16" s="82"/>
      <c r="K16" s="357"/>
      <c r="L16" s="357"/>
      <c r="M16" s="82"/>
      <c r="O16" s="357"/>
      <c r="P16" s="357"/>
      <c r="Q16" s="82"/>
      <c r="S16" s="357"/>
      <c r="T16" s="357"/>
      <c r="U16" s="82"/>
      <c r="W16" s="82"/>
      <c r="X16" s="357"/>
      <c r="Y16" s="82"/>
      <c r="AA16" s="357"/>
      <c r="AB16" s="357"/>
      <c r="AC16" s="82"/>
      <c r="AE16" s="82"/>
      <c r="AG16" s="82"/>
      <c r="AI16" s="357"/>
      <c r="AK16" s="82"/>
      <c r="AM16" s="357"/>
      <c r="AN16" s="357"/>
      <c r="AO16" s="82"/>
      <c r="AQ16" s="357"/>
      <c r="AR16" s="357"/>
      <c r="AS16" s="82"/>
      <c r="AU16" s="357"/>
      <c r="AV16" s="357"/>
      <c r="AW16" s="82"/>
      <c r="AY16" s="357"/>
      <c r="AZ16" s="357"/>
      <c r="BA16" s="82"/>
      <c r="BC16" s="357"/>
      <c r="BD16" s="357"/>
      <c r="BE16" s="82"/>
      <c r="BG16" s="357"/>
      <c r="BH16" s="357"/>
      <c r="BI16" s="82"/>
      <c r="BK16" s="357"/>
      <c r="BL16" s="357"/>
      <c r="BM16" s="82"/>
      <c r="BO16" s="357"/>
      <c r="BP16" s="357"/>
      <c r="BQ16" s="82"/>
      <c r="BS16" s="357"/>
      <c r="BT16" s="357"/>
      <c r="BU16" s="82"/>
      <c r="BW16" s="357"/>
      <c r="BX16" s="357"/>
      <c r="BY16" s="82"/>
      <c r="CA16" s="357"/>
      <c r="CB16" s="357"/>
      <c r="CC16" s="82"/>
      <c r="CE16" s="357"/>
      <c r="CF16" s="357"/>
      <c r="CG16" s="82"/>
      <c r="CI16" s="357"/>
      <c r="CJ16" s="357"/>
      <c r="CK16" s="82"/>
      <c r="CM16" s="357"/>
      <c r="CN16" s="357"/>
      <c r="CO16" s="82"/>
      <c r="CQ16" s="357"/>
      <c r="CR16" s="357"/>
      <c r="CS16" s="82"/>
      <c r="CU16" s="357"/>
      <c r="CV16" s="357"/>
      <c r="CW16" s="82"/>
      <c r="CY16" s="357"/>
      <c r="CZ16" s="357"/>
      <c r="DA16" s="82"/>
      <c r="DC16" s="357"/>
      <c r="DD16" s="357"/>
      <c r="DE16" s="82"/>
      <c r="DG16" s="357"/>
      <c r="DH16" s="357"/>
      <c r="DI16" s="82"/>
      <c r="DK16" s="357"/>
      <c r="DL16" s="357"/>
      <c r="DM16" s="82"/>
      <c r="DO16" s="357"/>
      <c r="DP16" s="357"/>
      <c r="DQ16" s="82"/>
      <c r="DS16" s="357"/>
      <c r="DT16" s="357"/>
      <c r="DU16" s="82"/>
      <c r="DW16" s="357"/>
      <c r="DX16" s="13"/>
      <c r="DY16" s="82"/>
      <c r="EA16" s="357"/>
      <c r="EB16" s="357"/>
      <c r="EC16" s="82"/>
      <c r="EE16" s="357"/>
      <c r="EF16" s="13"/>
      <c r="EG16" s="82"/>
      <c r="EI16" s="357"/>
      <c r="EJ16" s="357"/>
      <c r="EK16" s="82"/>
      <c r="EM16" s="357"/>
      <c r="EN16" s="357"/>
      <c r="EO16" s="82"/>
      <c r="EQ16" s="357"/>
      <c r="ER16" s="357"/>
      <c r="ES16" s="357"/>
      <c r="EU16" s="357"/>
      <c r="EV16" s="357"/>
      <c r="EW16" s="357"/>
      <c r="EY16" s="383"/>
      <c r="EZ16" s="357"/>
      <c r="FA16" s="357"/>
      <c r="FC16" s="357"/>
      <c r="FD16" s="357"/>
      <c r="FE16" s="357"/>
      <c r="FG16" s="357"/>
      <c r="FH16" s="357"/>
      <c r="FI16" s="357"/>
      <c r="FJ16" s="357"/>
      <c r="FL16" s="357"/>
      <c r="FM16" s="357"/>
      <c r="FN16" s="357"/>
      <c r="FP16" s="357"/>
      <c r="FQ16" s="357"/>
      <c r="FR16" s="357"/>
      <c r="FT16" s="357"/>
      <c r="FU16" s="357"/>
      <c r="FV16" s="357"/>
      <c r="FX16" s="357"/>
      <c r="FY16" s="357"/>
      <c r="FZ16" s="357"/>
      <c r="GB16" s="357"/>
      <c r="GC16" s="357"/>
      <c r="GD16" s="357"/>
      <c r="GF16" s="357"/>
      <c r="GG16" s="357"/>
      <c r="GH16" s="357"/>
      <c r="GJ16" s="357"/>
      <c r="GK16" s="13"/>
      <c r="GL16" s="189"/>
      <c r="GN16" s="189"/>
      <c r="GO16" s="189"/>
      <c r="GP16" s="189"/>
      <c r="GR16" s="189"/>
      <c r="GS16" s="189"/>
      <c r="GT16" s="189"/>
      <c r="GV16" s="189"/>
      <c r="GW16" s="13"/>
      <c r="GX16" s="189"/>
      <c r="GY16" s="157"/>
      <c r="GZ16" s="189"/>
      <c r="HA16" s="189"/>
      <c r="HB16" s="189"/>
      <c r="HC16" s="157"/>
      <c r="HD16" s="189"/>
      <c r="HE16" s="189"/>
      <c r="HF16" s="189"/>
      <c r="HG16" s="157"/>
      <c r="HH16" s="189"/>
      <c r="HI16" s="189"/>
      <c r="HJ16" s="189"/>
      <c r="HK16" s="157"/>
      <c r="HL16" s="189"/>
      <c r="HM16" s="189"/>
      <c r="HN16" s="189"/>
      <c r="HO16" s="157"/>
      <c r="HP16" s="189"/>
      <c r="HQ16" s="189"/>
      <c r="HR16" s="189"/>
      <c r="HS16" s="157"/>
      <c r="HT16" s="189"/>
      <c r="HU16" s="189"/>
      <c r="HV16" s="189"/>
      <c r="HW16" s="157"/>
      <c r="HX16" s="189"/>
      <c r="HY16" s="189"/>
      <c r="HZ16" s="189"/>
      <c r="IA16" s="157"/>
      <c r="IB16" s="189"/>
      <c r="IC16" s="189"/>
      <c r="ID16" s="189"/>
      <c r="IE16" s="189"/>
      <c r="IF16" s="157"/>
      <c r="IG16" s="189"/>
      <c r="IH16" s="189"/>
      <c r="II16" s="189"/>
      <c r="IJ16" s="157"/>
      <c r="IK16" s="189"/>
      <c r="IL16" s="189"/>
      <c r="IM16" s="189"/>
      <c r="IN16" s="189"/>
      <c r="IO16" s="157"/>
      <c r="IP16" s="189"/>
      <c r="IQ16" s="189"/>
      <c r="IR16" s="189"/>
      <c r="IS16" s="189"/>
      <c r="IT16" s="157"/>
      <c r="IU16" s="189"/>
      <c r="IV16" s="189"/>
      <c r="IW16" s="189"/>
      <c r="IX16" s="189"/>
      <c r="IY16" s="157"/>
      <c r="IZ16" s="189"/>
      <c r="JA16" s="189"/>
      <c r="JB16" s="189"/>
      <c r="JC16" s="157"/>
      <c r="JD16" s="189"/>
      <c r="JE16" s="189"/>
      <c r="JF16" s="189"/>
      <c r="JG16" s="189"/>
      <c r="JH16" s="189"/>
      <c r="JI16" s="189"/>
      <c r="JJ16" s="189"/>
      <c r="JK16" s="189"/>
      <c r="JL16" s="189"/>
      <c r="JM16" s="189"/>
      <c r="JN16" s="189"/>
      <c r="JO16" s="157"/>
      <c r="JP16" s="189"/>
      <c r="JQ16" s="157"/>
      <c r="JR16" s="189"/>
      <c r="JS16" s="157"/>
      <c r="JT16" s="189"/>
      <c r="JU16" s="157"/>
      <c r="JV16" s="189"/>
      <c r="JW16" s="157"/>
      <c r="JX16" s="189"/>
      <c r="JY16" s="157"/>
      <c r="JZ16" s="189"/>
      <c r="KA16" s="157"/>
      <c r="KB16" s="189"/>
      <c r="KC16" s="157"/>
      <c r="KD16" s="189"/>
      <c r="KE16" s="157"/>
      <c r="KF16" s="189"/>
      <c r="KG16" s="157"/>
      <c r="KH16" s="157"/>
      <c r="KI16" s="157"/>
      <c r="KJ16" s="157"/>
      <c r="KK16" s="157"/>
      <c r="KL16" s="157"/>
      <c r="KM16" s="157"/>
      <c r="KN16" s="157"/>
      <c r="KO16" s="157"/>
      <c r="KP16" s="157"/>
      <c r="KQ16" s="157"/>
      <c r="KR16" s="157"/>
      <c r="KS16" s="157"/>
      <c r="KT16" s="157"/>
      <c r="KU16" s="157"/>
      <c r="KV16" s="157"/>
      <c r="KW16" s="157"/>
      <c r="KX16" s="163"/>
      <c r="KY16" s="157"/>
      <c r="KZ16" s="157"/>
      <c r="LA16" s="157"/>
      <c r="LB16" s="163"/>
      <c r="LC16" s="157"/>
      <c r="LD16" s="157"/>
      <c r="LE16" s="157"/>
      <c r="LF16" s="163"/>
      <c r="LG16" s="157"/>
      <c r="LH16" s="157"/>
      <c r="LI16" s="157"/>
      <c r="LJ16" s="157"/>
      <c r="LK16" s="157"/>
      <c r="LL16" s="157"/>
      <c r="LM16" s="157"/>
      <c r="LN16" s="157"/>
      <c r="LO16" s="157"/>
      <c r="LP16" s="157"/>
      <c r="LQ16" s="157"/>
      <c r="LR16" s="157"/>
      <c r="LS16" s="157"/>
      <c r="LT16" s="157"/>
      <c r="LU16" s="157"/>
      <c r="LV16" s="157"/>
      <c r="LW16" s="157"/>
      <c r="LX16" s="157"/>
      <c r="LY16" s="157"/>
      <c r="LZ16" s="157"/>
      <c r="MA16" s="157"/>
      <c r="MB16" s="157"/>
      <c r="MC16" s="157"/>
      <c r="MD16" s="157"/>
      <c r="ME16" s="157"/>
      <c r="MF16" s="157"/>
      <c r="MG16" s="157"/>
      <c r="MH16" s="157"/>
      <c r="MI16" s="157"/>
      <c r="MJ16" s="157"/>
      <c r="MK16" s="157"/>
      <c r="ML16" s="157"/>
      <c r="MM16" s="157"/>
      <c r="MN16" s="157"/>
      <c r="MO16" s="157"/>
      <c r="MP16" s="157"/>
      <c r="MQ16" s="157"/>
      <c r="MR16" s="157"/>
      <c r="MS16" s="157"/>
      <c r="MT16" s="157"/>
      <c r="MU16" s="157"/>
      <c r="MV16" s="157"/>
      <c r="MW16" s="157"/>
      <c r="MX16" s="157"/>
      <c r="MY16" s="157"/>
      <c r="MZ16" s="157"/>
      <c r="NA16" s="157"/>
      <c r="NB16" s="157"/>
      <c r="NC16" s="157"/>
      <c r="ND16" s="157"/>
      <c r="NE16" s="157"/>
      <c r="NF16" s="157"/>
      <c r="NG16" s="157"/>
      <c r="NH16" s="157"/>
      <c r="NI16" s="157"/>
      <c r="NJ16" s="157"/>
      <c r="NK16" s="157"/>
      <c r="NL16" s="157"/>
      <c r="NM16" s="157"/>
      <c r="NN16" s="157"/>
      <c r="NO16" s="157"/>
      <c r="NP16" s="157"/>
      <c r="NQ16" s="157"/>
      <c r="NR16" s="157"/>
      <c r="NS16" s="157"/>
      <c r="NT16" s="157"/>
      <c r="NU16" s="157"/>
      <c r="NV16" s="157"/>
      <c r="NW16" s="157"/>
      <c r="NX16" s="157"/>
      <c r="NY16" s="157"/>
      <c r="NZ16" s="157"/>
      <c r="OA16" s="157"/>
      <c r="OB16" s="157"/>
      <c r="OC16" s="157"/>
      <c r="OD16" s="157"/>
      <c r="OE16" s="157"/>
      <c r="OF16" s="157"/>
      <c r="OG16" s="157"/>
      <c r="OH16" s="157"/>
    </row>
    <row r="17" spans="1:398">
      <c r="C17" s="179"/>
      <c r="E17" s="179"/>
      <c r="H17" s="179"/>
      <c r="J17" s="179"/>
      <c r="N17" s="179"/>
      <c r="R17" s="179"/>
      <c r="V17" s="179"/>
      <c r="Z17" s="179"/>
      <c r="AD17" s="179"/>
      <c r="AF17" s="179"/>
      <c r="AH17" s="179"/>
      <c r="AJ17" s="179"/>
      <c r="AL17" s="179"/>
      <c r="AP17" s="179"/>
      <c r="AT17" s="179"/>
      <c r="AX17" s="179"/>
      <c r="BB17" s="179"/>
      <c r="BF17" s="179"/>
      <c r="BJ17" s="179"/>
      <c r="BN17" s="179"/>
      <c r="BR17" s="179"/>
      <c r="BV17" s="179"/>
      <c r="BZ17" s="179"/>
      <c r="CD17" s="179"/>
      <c r="CH17" s="179"/>
      <c r="CL17" s="179"/>
      <c r="CP17" s="179"/>
      <c r="CT17" s="179"/>
      <c r="CX17" s="179"/>
      <c r="DB17" s="179"/>
      <c r="DF17" s="179"/>
      <c r="DJ17" s="179"/>
      <c r="DN17" s="179"/>
      <c r="DR17" s="179"/>
      <c r="DV17" s="179"/>
      <c r="DZ17" s="179"/>
      <c r="ED17" s="179"/>
      <c r="EH17" s="179"/>
      <c r="EL17" s="179"/>
      <c r="EP17" s="179"/>
      <c r="ET17" s="372"/>
      <c r="EX17" s="372"/>
      <c r="EY17" s="368"/>
      <c r="FB17" s="372"/>
      <c r="FF17" s="372"/>
      <c r="FK17" s="372"/>
      <c r="FO17" s="372"/>
      <c r="FS17" s="372"/>
      <c r="FW17" s="372"/>
      <c r="GA17" s="372"/>
      <c r="GE17" s="372"/>
      <c r="GI17" s="372"/>
      <c r="GM17" s="179"/>
      <c r="GQ17" s="179"/>
      <c r="GU17" s="179"/>
      <c r="GX17" s="157"/>
      <c r="GY17" s="179"/>
      <c r="GZ17" s="157"/>
      <c r="HA17" s="157"/>
      <c r="HB17" s="157"/>
      <c r="HC17" s="179"/>
      <c r="HD17" s="157"/>
      <c r="HE17" s="157"/>
      <c r="HF17" s="157"/>
      <c r="HG17" s="179"/>
      <c r="HH17" s="157"/>
      <c r="HI17" s="157"/>
      <c r="HJ17" s="157"/>
      <c r="HK17" s="179"/>
      <c r="HL17" s="157"/>
      <c r="HM17" s="157"/>
      <c r="HN17" s="157"/>
      <c r="HO17" s="179"/>
      <c r="HP17" s="157"/>
      <c r="HQ17" s="157"/>
      <c r="HR17" s="157"/>
      <c r="HS17" s="179"/>
      <c r="HT17" s="157"/>
      <c r="HU17" s="157"/>
      <c r="HV17" s="157"/>
      <c r="HW17" s="179"/>
      <c r="HX17" s="157"/>
      <c r="HY17" s="157"/>
      <c r="HZ17" s="157"/>
      <c r="IA17" s="179"/>
      <c r="IB17" s="157"/>
      <c r="IC17" s="157"/>
      <c r="ID17" s="157"/>
      <c r="IE17" s="157"/>
      <c r="IF17" s="179"/>
      <c r="IG17" s="157"/>
      <c r="IH17" s="157"/>
      <c r="II17" s="157"/>
      <c r="IJ17" s="179"/>
      <c r="IK17" s="157"/>
      <c r="IL17" s="157"/>
      <c r="IM17" s="157"/>
      <c r="IN17" s="157"/>
      <c r="IO17" s="179"/>
      <c r="IP17" s="157"/>
      <c r="IQ17" s="157"/>
      <c r="IR17" s="157"/>
      <c r="IS17" s="157"/>
      <c r="IT17" s="179"/>
      <c r="IU17" s="157"/>
      <c r="IV17" s="157"/>
      <c r="IW17" s="157"/>
      <c r="IX17" s="157"/>
      <c r="IY17" s="179"/>
      <c r="IZ17" s="157"/>
      <c r="JA17" s="157"/>
      <c r="JB17" s="157"/>
      <c r="JC17" s="179"/>
      <c r="JD17" s="157"/>
      <c r="JE17" s="157"/>
      <c r="JF17" s="157"/>
      <c r="JG17" s="157"/>
      <c r="JH17" s="157"/>
      <c r="JI17" s="157"/>
      <c r="JJ17" s="157"/>
      <c r="JK17" s="157"/>
      <c r="JL17" s="157"/>
      <c r="JM17" s="157"/>
      <c r="JN17" s="157"/>
      <c r="JO17" s="179"/>
      <c r="JP17" s="157"/>
      <c r="JQ17" s="179"/>
      <c r="JR17" s="157"/>
      <c r="JS17" s="179"/>
      <c r="JT17" s="157"/>
      <c r="JU17" s="179"/>
      <c r="JV17" s="157"/>
      <c r="JW17" s="179"/>
      <c r="JX17" s="157"/>
      <c r="JY17" s="179"/>
      <c r="JZ17" s="157"/>
      <c r="KA17" s="179"/>
      <c r="KB17" s="157"/>
      <c r="KC17" s="179"/>
      <c r="KD17" s="157"/>
      <c r="KE17" s="179"/>
      <c r="KF17" s="157"/>
      <c r="KG17" s="179"/>
      <c r="KH17" s="157"/>
      <c r="KI17" s="179"/>
      <c r="KJ17" s="157"/>
      <c r="KK17" s="179"/>
      <c r="KL17" s="157"/>
      <c r="KM17" s="179"/>
      <c r="KN17" s="157"/>
      <c r="KO17" s="157"/>
      <c r="KP17" s="157"/>
      <c r="KQ17" s="157"/>
      <c r="KR17" s="157"/>
      <c r="KS17" s="157"/>
      <c r="KT17" s="157"/>
      <c r="KU17" s="157"/>
      <c r="KV17" s="157"/>
      <c r="KW17" s="157"/>
      <c r="KX17" s="157"/>
      <c r="KY17" s="157"/>
      <c r="KZ17" s="157"/>
      <c r="LA17" s="157"/>
      <c r="LB17" s="157"/>
      <c r="LC17" s="157"/>
      <c r="LD17" s="157"/>
      <c r="LE17" s="157"/>
      <c r="LF17" s="157"/>
      <c r="LG17" s="157"/>
      <c r="LH17" s="157"/>
      <c r="LI17" s="157"/>
      <c r="LJ17" s="157"/>
      <c r="LK17" s="157"/>
      <c r="LL17" s="157"/>
      <c r="LM17" s="157"/>
      <c r="LN17" s="157"/>
      <c r="LO17" s="157"/>
      <c r="LP17" s="157"/>
      <c r="LQ17" s="157"/>
      <c r="LR17" s="157"/>
      <c r="LS17" s="157"/>
      <c r="LT17" s="157"/>
      <c r="LU17" s="157"/>
      <c r="LV17" s="157"/>
      <c r="LW17" s="157"/>
      <c r="LX17" s="157"/>
      <c r="LY17" s="157"/>
      <c r="LZ17" s="157"/>
      <c r="MA17" s="157"/>
      <c r="MB17" s="157"/>
      <c r="MC17" s="157"/>
      <c r="MD17" s="157"/>
      <c r="ME17" s="157"/>
      <c r="MF17" s="157"/>
      <c r="MG17" s="157"/>
      <c r="MH17" s="157"/>
      <c r="MI17" s="157"/>
      <c r="MJ17" s="157"/>
      <c r="MK17" s="157"/>
      <c r="ML17" s="157"/>
      <c r="MM17" s="157"/>
      <c r="MN17" s="157"/>
      <c r="MO17" s="157"/>
      <c r="MP17" s="157"/>
      <c r="MQ17" s="157"/>
      <c r="MR17" s="157"/>
      <c r="MS17" s="157"/>
      <c r="MT17" s="157"/>
      <c r="MU17" s="157"/>
      <c r="MV17" s="157"/>
      <c r="MW17" s="157"/>
      <c r="MX17" s="157"/>
      <c r="MY17" s="157"/>
      <c r="MZ17" s="157"/>
      <c r="NA17" s="157"/>
      <c r="NB17" s="157"/>
      <c r="NC17" s="157"/>
      <c r="ND17" s="157"/>
      <c r="NE17" s="157"/>
      <c r="NF17" s="157"/>
      <c r="NG17" s="157"/>
      <c r="NH17" s="157"/>
      <c r="NI17" s="157"/>
      <c r="NJ17" s="157"/>
      <c r="NK17" s="157"/>
      <c r="NL17" s="157"/>
      <c r="NM17" s="157"/>
      <c r="NN17" s="157"/>
      <c r="NO17" s="157"/>
      <c r="NP17" s="157"/>
      <c r="NQ17" s="157"/>
      <c r="NR17" s="157"/>
      <c r="NS17" s="157"/>
      <c r="NT17" s="157"/>
      <c r="NU17" s="157"/>
      <c r="NV17" s="157"/>
      <c r="NW17" s="157"/>
      <c r="NX17" s="157"/>
      <c r="NY17" s="157"/>
      <c r="NZ17" s="157"/>
      <c r="OA17" s="157"/>
      <c r="OB17" s="157"/>
      <c r="OC17" s="157"/>
      <c r="OD17" s="157"/>
      <c r="OE17" s="157"/>
      <c r="OF17" s="157"/>
      <c r="OG17" s="157"/>
      <c r="OH17" s="157"/>
    </row>
    <row r="18" spans="1:398" ht="35.25" customHeight="1">
      <c r="A18" s="8"/>
      <c r="B18" s="8" t="s">
        <v>0</v>
      </c>
      <c r="D18" s="347" t="str">
        <f>D2</f>
        <v>Q1 2025</v>
      </c>
      <c r="F18" s="363" t="str">
        <f>F2</f>
        <v>Q1 2024</v>
      </c>
      <c r="G18" s="373"/>
      <c r="I18" s="347" t="str">
        <f>I2</f>
        <v>FY 2024</v>
      </c>
      <c r="K18" s="363" t="str">
        <f>K2</f>
        <v>FY 2023</v>
      </c>
      <c r="L18" s="373"/>
      <c r="M18" s="347" t="str">
        <f>M2</f>
        <v>Q4 2024</v>
      </c>
      <c r="O18" s="363" t="str">
        <f t="shared" ref="O18" si="21">O2</f>
        <v>Q4 2023</v>
      </c>
      <c r="P18" s="373"/>
      <c r="Q18" s="347" t="str">
        <f>Q2</f>
        <v>Q1-Q3 2024</v>
      </c>
      <c r="S18" s="347" t="str">
        <f t="shared" ref="S18" si="22">S2</f>
        <v>Q1-Q3 2023</v>
      </c>
      <c r="T18" s="157"/>
      <c r="U18" s="347" t="str">
        <f t="shared" ref="U18" si="23">U2</f>
        <v>Q3 2024</v>
      </c>
      <c r="W18" s="347" t="str">
        <f t="shared" ref="W18" si="24">W2</f>
        <v>Q3 2023</v>
      </c>
      <c r="X18" s="157"/>
      <c r="Y18" s="347" t="str">
        <f>Y2</f>
        <v>H1 2024</v>
      </c>
      <c r="AA18" s="347" t="str">
        <f>AA2</f>
        <v>H1 2023</v>
      </c>
      <c r="AB18" s="373"/>
      <c r="AC18" s="347" t="str">
        <f>AC2</f>
        <v>Q2 2024</v>
      </c>
      <c r="AE18" s="347" t="str">
        <f>AE2</f>
        <v>Q2 2023</v>
      </c>
      <c r="AG18" s="347" t="str">
        <f>AG2</f>
        <v>Q1 2024</v>
      </c>
      <c r="AI18" s="363" t="str">
        <f>AI2</f>
        <v>Q1 2023</v>
      </c>
      <c r="AK18" s="347" t="str">
        <f>AK2</f>
        <v>FY 2023</v>
      </c>
      <c r="AM18" s="363" t="str">
        <f>AM2</f>
        <v>FY 2022</v>
      </c>
      <c r="AN18" s="373"/>
      <c r="AO18" s="347" t="str">
        <f>AO2</f>
        <v>Q4 2023</v>
      </c>
      <c r="AQ18" s="363" t="str">
        <f>AQ2</f>
        <v>Q4 2022</v>
      </c>
      <c r="AR18" s="373"/>
      <c r="AS18" s="347" t="str">
        <f>AS2</f>
        <v>Q1-Q3 2023</v>
      </c>
      <c r="AU18" s="363" t="str">
        <f>AU2</f>
        <v>Q1-Q3 2022</v>
      </c>
      <c r="AV18" s="373"/>
      <c r="AW18" s="347" t="str">
        <f>AW2</f>
        <v>Q3 2023</v>
      </c>
      <c r="AY18" s="363" t="str">
        <f>AY2</f>
        <v>Q3 2022</v>
      </c>
      <c r="AZ18" s="373"/>
      <c r="BA18" s="347" t="str">
        <f>BA2</f>
        <v>H1 2023</v>
      </c>
      <c r="BC18" s="363" t="str">
        <f>BC2</f>
        <v>H1 2022</v>
      </c>
      <c r="BD18" s="373"/>
      <c r="BE18" s="347" t="str">
        <f>BE2</f>
        <v>Q2 2023</v>
      </c>
      <c r="BG18" s="363" t="str">
        <f>BG2</f>
        <v>Q2 2022</v>
      </c>
      <c r="BH18" s="373"/>
      <c r="BI18" s="347" t="s">
        <v>789</v>
      </c>
      <c r="BK18" s="363" t="s">
        <v>702</v>
      </c>
      <c r="BL18" s="373"/>
      <c r="BM18" s="347" t="s">
        <v>763</v>
      </c>
      <c r="BO18" s="363" t="s">
        <v>668</v>
      </c>
      <c r="BP18" s="373"/>
      <c r="BQ18" s="347" t="s">
        <v>715</v>
      </c>
      <c r="BS18" s="363" t="s">
        <v>631</v>
      </c>
      <c r="BT18" s="373"/>
      <c r="BU18" s="347" t="s">
        <v>733</v>
      </c>
      <c r="BW18" s="363" t="s">
        <v>654</v>
      </c>
      <c r="BX18" s="373"/>
      <c r="BY18" s="347" t="s">
        <v>714</v>
      </c>
      <c r="CA18" s="363" t="s">
        <v>632</v>
      </c>
      <c r="CB18" s="373"/>
      <c r="CC18" s="347" t="s">
        <v>712</v>
      </c>
      <c r="CE18" s="363" t="s">
        <v>641</v>
      </c>
      <c r="CF18" s="373"/>
      <c r="CG18" s="347" t="s">
        <v>713</v>
      </c>
      <c r="CI18" s="363" t="s">
        <v>642</v>
      </c>
      <c r="CJ18" s="373"/>
      <c r="CK18" s="347" t="s">
        <v>702</v>
      </c>
      <c r="CM18" s="363" t="s">
        <v>630</v>
      </c>
      <c r="CN18" s="373"/>
      <c r="CO18" s="347" t="str">
        <f>CO2</f>
        <v>FY 2021</v>
      </c>
      <c r="CQ18" s="363" t="str">
        <f>CQ2</f>
        <v>FY 2020</v>
      </c>
      <c r="CR18" s="373"/>
      <c r="CS18" s="347" t="s">
        <v>632</v>
      </c>
      <c r="CU18" s="363" t="s">
        <v>598</v>
      </c>
      <c r="CV18" s="373"/>
      <c r="CW18" s="347" t="s">
        <v>654</v>
      </c>
      <c r="CY18" s="363" t="s">
        <v>597</v>
      </c>
      <c r="CZ18" s="373"/>
      <c r="DA18" s="347" t="s">
        <v>632</v>
      </c>
      <c r="DC18" s="363" t="s">
        <v>598</v>
      </c>
      <c r="DD18" s="373"/>
      <c r="DE18" s="347" t="s">
        <v>641</v>
      </c>
      <c r="DG18" s="363" t="s">
        <v>585</v>
      </c>
      <c r="DH18" s="373"/>
      <c r="DI18" s="347" t="s">
        <v>642</v>
      </c>
      <c r="DK18" s="363" t="s">
        <v>584</v>
      </c>
      <c r="DL18" s="373"/>
      <c r="DM18" s="347" t="str">
        <f>DM2</f>
        <v>Q1 2021</v>
      </c>
      <c r="DO18" s="347" t="str">
        <f>DO2</f>
        <v>Q1 2020</v>
      </c>
      <c r="DP18" s="373"/>
      <c r="DQ18" s="347" t="str">
        <f>DQ2</f>
        <v>FY 2020</v>
      </c>
      <c r="DS18" s="363" t="str">
        <f>DS2</f>
        <v>FY 2019</v>
      </c>
      <c r="DT18" s="373"/>
      <c r="DU18" s="347" t="s">
        <v>613</v>
      </c>
      <c r="DW18" s="363" t="s">
        <v>574</v>
      </c>
      <c r="DX18" s="8"/>
      <c r="DY18" s="347" t="str">
        <f>DY2</f>
        <v>Q1-Q3 2020</v>
      </c>
      <c r="EA18" s="363" t="str">
        <f>EA2</f>
        <v>Q1-Q3 2019</v>
      </c>
      <c r="EB18" s="373"/>
      <c r="EC18" s="347" t="s">
        <v>598</v>
      </c>
      <c r="EE18" s="363" t="s">
        <v>551</v>
      </c>
      <c r="EF18" s="8"/>
      <c r="EG18" s="347" t="s">
        <v>585</v>
      </c>
      <c r="EI18" s="363" t="s">
        <v>538</v>
      </c>
      <c r="EJ18" s="373"/>
      <c r="EK18" s="347" t="s">
        <v>584</v>
      </c>
      <c r="EM18" s="363" t="s">
        <v>537</v>
      </c>
      <c r="EN18" s="373"/>
      <c r="EO18" s="347" t="s">
        <v>575</v>
      </c>
      <c r="EQ18" s="363" t="s">
        <v>527</v>
      </c>
      <c r="ER18" s="373"/>
      <c r="ES18" s="353">
        <v>2019</v>
      </c>
      <c r="EU18" s="353">
        <v>2018</v>
      </c>
      <c r="EV18" s="372"/>
      <c r="EW18" s="353" t="s">
        <v>565</v>
      </c>
      <c r="EY18" s="353" t="s">
        <v>566</v>
      </c>
      <c r="EZ18" s="373"/>
      <c r="FA18" s="363" t="s">
        <v>550</v>
      </c>
      <c r="FC18" s="363" t="s">
        <v>498</v>
      </c>
      <c r="FD18" s="372"/>
      <c r="FE18" s="363" t="s">
        <v>551</v>
      </c>
      <c r="FG18" s="363" t="s">
        <v>499</v>
      </c>
      <c r="FH18" s="372"/>
      <c r="FI18" s="372"/>
      <c r="FJ18" s="363" t="s">
        <v>538</v>
      </c>
      <c r="FL18" s="363" t="s">
        <v>436</v>
      </c>
      <c r="FM18" s="372"/>
      <c r="FN18" s="363" t="s">
        <v>537</v>
      </c>
      <c r="FP18" s="363" t="s">
        <v>437</v>
      </c>
      <c r="FQ18" s="372"/>
      <c r="FR18" s="363" t="s">
        <v>527</v>
      </c>
      <c r="FT18" s="363" t="s">
        <v>279</v>
      </c>
      <c r="FU18" s="372"/>
      <c r="FV18" s="363">
        <v>2018</v>
      </c>
      <c r="FX18" s="363">
        <v>2017</v>
      </c>
      <c r="FY18" s="372"/>
      <c r="FZ18" s="363" t="s">
        <v>515</v>
      </c>
      <c r="GB18" s="363" t="s">
        <v>439</v>
      </c>
      <c r="GC18" s="372"/>
      <c r="GD18" s="363" t="s">
        <v>498</v>
      </c>
      <c r="GF18" s="363" t="s">
        <v>327</v>
      </c>
      <c r="GG18" s="372"/>
      <c r="GH18" s="363" t="s">
        <v>499</v>
      </c>
      <c r="GJ18" s="363" t="s">
        <v>283</v>
      </c>
      <c r="GK18" s="4"/>
      <c r="GL18" s="151" t="s">
        <v>436</v>
      </c>
      <c r="GN18" s="151" t="s">
        <v>298</v>
      </c>
      <c r="GO18" s="179"/>
      <c r="GP18" s="151" t="s">
        <v>437</v>
      </c>
      <c r="GR18" s="151" t="s">
        <v>285</v>
      </c>
      <c r="GS18" s="179"/>
      <c r="GT18" s="152" t="s">
        <v>279</v>
      </c>
      <c r="GV18" s="151" t="s">
        <v>280</v>
      </c>
      <c r="GW18" s="135"/>
      <c r="GX18" s="152">
        <v>2017</v>
      </c>
      <c r="GY18" s="157"/>
      <c r="GZ18" s="151">
        <v>2016</v>
      </c>
      <c r="HA18" s="179"/>
      <c r="HB18" s="152" t="s">
        <v>281</v>
      </c>
      <c r="HC18" s="157"/>
      <c r="HD18" s="151" t="s">
        <v>282</v>
      </c>
      <c r="HE18" s="179"/>
      <c r="HF18" s="152" t="s">
        <v>283</v>
      </c>
      <c r="HG18" s="157"/>
      <c r="HH18" s="151" t="s">
        <v>284</v>
      </c>
      <c r="HI18" s="179"/>
      <c r="HJ18" s="152" t="s">
        <v>296</v>
      </c>
      <c r="HK18" s="157"/>
      <c r="HL18" s="151" t="s">
        <v>297</v>
      </c>
      <c r="HM18" s="179"/>
      <c r="HN18" s="152" t="s">
        <v>298</v>
      </c>
      <c r="HO18" s="157"/>
      <c r="HP18" s="151" t="s">
        <v>299</v>
      </c>
      <c r="HQ18" s="179"/>
      <c r="HR18" s="152" t="s">
        <v>285</v>
      </c>
      <c r="HS18" s="157"/>
      <c r="HT18" s="151" t="s">
        <v>286</v>
      </c>
      <c r="HU18" s="179"/>
      <c r="HV18" s="152" t="s">
        <v>280</v>
      </c>
      <c r="HW18" s="157"/>
      <c r="HX18" s="151" t="s">
        <v>300</v>
      </c>
      <c r="HY18" s="179"/>
      <c r="HZ18" s="152">
        <v>2016</v>
      </c>
      <c r="IA18" s="157"/>
      <c r="IB18" s="151">
        <v>2015</v>
      </c>
      <c r="IC18" s="179"/>
      <c r="ID18" s="179"/>
      <c r="IE18" s="152" t="s">
        <v>282</v>
      </c>
      <c r="IF18" s="185"/>
      <c r="IG18" s="151" t="s">
        <v>301</v>
      </c>
      <c r="IH18" s="186"/>
      <c r="II18" s="152" t="s">
        <v>302</v>
      </c>
      <c r="IJ18" s="157"/>
      <c r="IK18" s="151" t="s">
        <v>303</v>
      </c>
      <c r="IL18" s="189"/>
      <c r="IM18" s="189"/>
      <c r="IN18" s="152" t="s">
        <v>304</v>
      </c>
      <c r="IO18" s="185"/>
      <c r="IP18" s="151" t="s">
        <v>305</v>
      </c>
      <c r="IQ18" s="189"/>
      <c r="IR18" s="189"/>
      <c r="IS18" s="152" t="s">
        <v>306</v>
      </c>
      <c r="IT18" s="185"/>
      <c r="IU18" s="151" t="s">
        <v>307</v>
      </c>
      <c r="IV18" s="189"/>
      <c r="IW18" s="189"/>
      <c r="IX18" s="152" t="s">
        <v>308</v>
      </c>
      <c r="IY18" s="185"/>
      <c r="IZ18" s="151" t="s">
        <v>309</v>
      </c>
      <c r="JA18" s="189"/>
      <c r="JB18" s="152" t="s">
        <v>310</v>
      </c>
      <c r="JC18" s="185"/>
      <c r="JD18" s="151" t="s">
        <v>311</v>
      </c>
      <c r="JE18" s="189"/>
      <c r="JF18" s="151">
        <v>2015</v>
      </c>
      <c r="JG18" s="179"/>
      <c r="JH18" s="151">
        <v>2014</v>
      </c>
      <c r="JI18" s="179"/>
      <c r="JJ18" s="151" t="s">
        <v>301</v>
      </c>
      <c r="JK18" s="185"/>
      <c r="JL18" s="151" t="s">
        <v>290</v>
      </c>
      <c r="JM18" s="179"/>
      <c r="JN18" s="151" t="s">
        <v>303</v>
      </c>
      <c r="JO18" s="157"/>
      <c r="JP18" s="151" t="s">
        <v>312</v>
      </c>
      <c r="JQ18" s="185"/>
      <c r="JR18" s="151" t="s">
        <v>313</v>
      </c>
      <c r="JS18" s="185"/>
      <c r="JT18" s="151" t="s">
        <v>314</v>
      </c>
      <c r="JU18" s="185"/>
      <c r="JV18" s="151" t="s">
        <v>315</v>
      </c>
      <c r="JW18" s="185"/>
      <c r="JX18" s="151" t="s">
        <v>288</v>
      </c>
      <c r="JY18" s="185"/>
      <c r="JZ18" s="151" t="s">
        <v>316</v>
      </c>
      <c r="KA18" s="185"/>
      <c r="KB18" s="151" t="s">
        <v>294</v>
      </c>
      <c r="KC18" s="185"/>
      <c r="KD18" s="151" t="s">
        <v>317</v>
      </c>
      <c r="KE18" s="185"/>
      <c r="KF18" s="151" t="s">
        <v>318</v>
      </c>
      <c r="KG18" s="185"/>
      <c r="KH18" s="204">
        <v>2014</v>
      </c>
      <c r="KI18" s="205"/>
      <c r="KJ18" s="204">
        <v>2013</v>
      </c>
      <c r="KK18" s="205"/>
      <c r="KL18" s="151" t="s">
        <v>290</v>
      </c>
      <c r="KM18" s="205"/>
      <c r="KN18" s="151" t="s">
        <v>291</v>
      </c>
      <c r="KO18" s="179"/>
      <c r="KP18" s="151" t="s">
        <v>312</v>
      </c>
      <c r="KQ18" s="157"/>
      <c r="KR18" s="151" t="s">
        <v>319</v>
      </c>
      <c r="KS18" s="157"/>
      <c r="KT18" s="151" t="s">
        <v>314</v>
      </c>
      <c r="KU18" s="157"/>
      <c r="KV18" s="151" t="s">
        <v>293</v>
      </c>
      <c r="KW18" s="157"/>
      <c r="KX18" s="151" t="s">
        <v>288</v>
      </c>
      <c r="KY18" s="157"/>
      <c r="KZ18" s="151" t="s">
        <v>289</v>
      </c>
      <c r="LA18" s="157"/>
      <c r="LB18" s="151" t="s">
        <v>294</v>
      </c>
      <c r="LC18" s="157"/>
      <c r="LD18" s="204" t="s">
        <v>320</v>
      </c>
      <c r="LE18" s="157"/>
      <c r="LF18" s="151" t="s">
        <v>318</v>
      </c>
      <c r="LG18" s="157"/>
      <c r="LH18" s="151" t="s">
        <v>321</v>
      </c>
      <c r="LI18" s="157"/>
      <c r="LJ18" s="157"/>
      <c r="LK18" s="157"/>
      <c r="LL18" s="157"/>
      <c r="LM18" s="157"/>
      <c r="LN18" s="157"/>
      <c r="LO18" s="157"/>
      <c r="LP18" s="157"/>
      <c r="LQ18" s="157"/>
      <c r="LR18" s="157"/>
      <c r="LS18" s="157"/>
      <c r="LT18" s="157"/>
      <c r="LU18" s="157"/>
      <c r="LV18" s="157"/>
      <c r="LW18" s="157"/>
      <c r="LX18" s="157"/>
      <c r="LY18" s="157"/>
      <c r="LZ18" s="157"/>
      <c r="MA18" s="157"/>
      <c r="MB18" s="157"/>
      <c r="MC18" s="157"/>
      <c r="MD18" s="157"/>
      <c r="ME18" s="157"/>
      <c r="MF18" s="157"/>
      <c r="MG18" s="157"/>
      <c r="MH18" s="157"/>
      <c r="MI18" s="157"/>
      <c r="MJ18" s="157"/>
      <c r="MK18" s="157"/>
      <c r="ML18" s="157"/>
      <c r="MM18" s="157"/>
      <c r="MN18" s="157"/>
      <c r="MO18" s="157"/>
      <c r="MP18" s="157"/>
      <c r="MQ18" s="157"/>
      <c r="MR18" s="157"/>
      <c r="MS18" s="157"/>
      <c r="MT18" s="157"/>
      <c r="MU18" s="157"/>
      <c r="MV18" s="157"/>
      <c r="MW18" s="157"/>
      <c r="MX18" s="157"/>
      <c r="MY18" s="157"/>
      <c r="MZ18" s="157"/>
      <c r="NA18" s="157"/>
      <c r="NB18" s="157"/>
      <c r="NC18" s="157"/>
      <c r="ND18" s="157"/>
      <c r="NE18" s="157"/>
      <c r="NF18" s="157"/>
      <c r="NG18" s="157"/>
      <c r="NH18" s="157"/>
      <c r="NI18" s="157"/>
      <c r="NJ18" s="157"/>
      <c r="NK18" s="157"/>
      <c r="NL18" s="157"/>
      <c r="NM18" s="157"/>
      <c r="NN18" s="157"/>
      <c r="NO18" s="157"/>
      <c r="NP18" s="157"/>
      <c r="NQ18" s="157"/>
      <c r="NR18" s="157"/>
      <c r="NS18" s="157"/>
      <c r="NT18" s="157"/>
      <c r="NU18" s="157"/>
      <c r="NV18" s="157"/>
      <c r="NW18" s="157"/>
      <c r="NX18" s="157"/>
      <c r="NY18" s="157"/>
      <c r="NZ18" s="157"/>
      <c r="OA18" s="157"/>
      <c r="OB18" s="157"/>
      <c r="OC18" s="157"/>
      <c r="OD18" s="157"/>
      <c r="OE18" s="157"/>
      <c r="OF18" s="157"/>
      <c r="OG18" s="157"/>
      <c r="OH18" s="157"/>
    </row>
    <row r="19" spans="1:398">
      <c r="A19" s="11" t="s">
        <v>51</v>
      </c>
      <c r="B19" s="12" t="s">
        <v>53</v>
      </c>
      <c r="C19" s="205"/>
      <c r="D19" s="349"/>
      <c r="E19" s="205"/>
      <c r="F19" s="141"/>
      <c r="G19" s="140"/>
      <c r="H19" s="205"/>
      <c r="I19" s="349"/>
      <c r="J19" s="205"/>
      <c r="K19" s="141"/>
      <c r="L19" s="140"/>
      <c r="M19" s="349"/>
      <c r="N19" s="205"/>
      <c r="O19" s="141"/>
      <c r="P19" s="140"/>
      <c r="Q19" s="349"/>
      <c r="R19" s="205"/>
      <c r="S19" s="141"/>
      <c r="T19" s="140"/>
      <c r="U19" s="349"/>
      <c r="V19" s="205"/>
      <c r="W19" s="349"/>
      <c r="X19" s="140"/>
      <c r="Y19" s="349"/>
      <c r="Z19" s="205"/>
      <c r="AA19" s="141"/>
      <c r="AB19" s="140"/>
      <c r="AC19" s="349"/>
      <c r="AD19" s="205"/>
      <c r="AE19" s="349"/>
      <c r="AF19" s="205"/>
      <c r="AG19" s="349"/>
      <c r="AH19" s="205"/>
      <c r="AI19" s="141"/>
      <c r="AJ19" s="205"/>
      <c r="AK19" s="349"/>
      <c r="AL19" s="205"/>
      <c r="AM19" s="141">
        <f t="shared" ref="AM19:AM22" si="25">BM19</f>
        <v>5.01</v>
      </c>
      <c r="AN19" s="140"/>
      <c r="AO19" s="349"/>
      <c r="AP19" s="205"/>
      <c r="AQ19" s="141">
        <f t="shared" ref="AQ19:AQ22" si="26">BQ19</f>
        <v>1.5999999999999999</v>
      </c>
      <c r="AR19" s="140"/>
      <c r="AS19" s="349"/>
      <c r="AT19" s="205"/>
      <c r="AU19" s="141">
        <f t="shared" ref="AU19:AU22" si="27">BU19</f>
        <v>3.4</v>
      </c>
      <c r="AV19" s="140"/>
      <c r="AW19" s="349"/>
      <c r="AX19" s="205"/>
      <c r="AY19" s="141">
        <f t="shared" ref="AY19:AY22" si="28">BY19</f>
        <v>0.7</v>
      </c>
      <c r="AZ19" s="140"/>
      <c r="BA19" s="349"/>
      <c r="BB19" s="205"/>
      <c r="BC19" s="141">
        <f t="shared" ref="BC19:BC22" si="29">CC19</f>
        <v>2.71</v>
      </c>
      <c r="BD19" s="140"/>
      <c r="BE19" s="349"/>
      <c r="BF19" s="205"/>
      <c r="BG19" s="141">
        <f t="shared" ref="BG19:BG22" si="30">CG19</f>
        <v>1.25</v>
      </c>
      <c r="BH19" s="140"/>
      <c r="BI19" s="349"/>
      <c r="BJ19" s="205"/>
      <c r="BK19" s="141">
        <f t="shared" ref="BK19:BK22" si="31">CK19</f>
        <v>1.45</v>
      </c>
      <c r="BL19" s="140"/>
      <c r="BM19" s="349">
        <v>5.01</v>
      </c>
      <c r="BN19" s="205"/>
      <c r="BO19" s="141">
        <f t="shared" ref="BO19:BO22" si="32">CO19</f>
        <v>5.15</v>
      </c>
      <c r="BP19" s="140"/>
      <c r="BQ19" s="349">
        <f>BM19-BU19-0.01</f>
        <v>1.5999999999999999</v>
      </c>
      <c r="BR19" s="205"/>
      <c r="BS19" s="141">
        <f t="shared" ref="BS19:BS22" si="33">CO19-CW19</f>
        <v>1.4500000000000002</v>
      </c>
      <c r="BT19" s="140"/>
      <c r="BU19" s="349">
        <v>3.4</v>
      </c>
      <c r="BV19" s="205"/>
      <c r="BW19" s="141">
        <v>3.7</v>
      </c>
      <c r="BX19" s="140"/>
      <c r="BY19" s="349">
        <v>0.7</v>
      </c>
      <c r="BZ19" s="205"/>
      <c r="CA19" s="141">
        <f t="shared" ref="CA19:CA22" si="34">DA19</f>
        <v>1</v>
      </c>
      <c r="CB19" s="140"/>
      <c r="CC19" s="349">
        <v>2.71</v>
      </c>
      <c r="CD19" s="205"/>
      <c r="CE19" s="141">
        <v>2.7</v>
      </c>
      <c r="CF19" s="140"/>
      <c r="CG19" s="349">
        <v>1.25</v>
      </c>
      <c r="CH19" s="205"/>
      <c r="CI19" s="141">
        <v>1.26</v>
      </c>
      <c r="CJ19" s="140"/>
      <c r="CK19" s="349">
        <v>1.45</v>
      </c>
      <c r="CL19" s="205"/>
      <c r="CM19" s="141">
        <f t="shared" ref="CM19:CM22" si="35">DM19</f>
        <v>1.43</v>
      </c>
      <c r="CN19" s="140"/>
      <c r="CO19" s="349">
        <v>5.15</v>
      </c>
      <c r="CP19" s="205"/>
      <c r="CQ19" s="141">
        <f t="shared" ref="CQ19:CQ22" si="36">DQ19</f>
        <v>4.54</v>
      </c>
      <c r="CR19" s="140"/>
      <c r="CS19" s="349">
        <f t="shared" ref="CS19:CS22" si="37">CO19-CW19</f>
        <v>1.4500000000000002</v>
      </c>
      <c r="CT19" s="205"/>
      <c r="CU19" s="141">
        <f t="shared" ref="CU19:CU22" si="38">CQ19-CY19</f>
        <v>0.95000000000000018</v>
      </c>
      <c r="CV19" s="140"/>
      <c r="CW19" s="349">
        <v>3.7</v>
      </c>
      <c r="CX19" s="205"/>
      <c r="CY19" s="141">
        <v>3.59</v>
      </c>
      <c r="CZ19" s="140"/>
      <c r="DA19" s="349">
        <f t="shared" ref="DA19:DA22" si="39">CW19-DE19</f>
        <v>1</v>
      </c>
      <c r="DB19" s="205"/>
      <c r="DC19" s="141">
        <f t="shared" ref="DC19:DC22" si="40">CY19-DG19</f>
        <v>1.0999999999999996</v>
      </c>
      <c r="DD19" s="140"/>
      <c r="DE19" s="349">
        <v>2.7</v>
      </c>
      <c r="DF19" s="205"/>
      <c r="DG19" s="141">
        <v>2.4900000000000002</v>
      </c>
      <c r="DH19" s="140"/>
      <c r="DI19" s="349">
        <f t="shared" ref="DI19:DI22" si="41">DE19-DM19</f>
        <v>1.2700000000000002</v>
      </c>
      <c r="DJ19" s="205"/>
      <c r="DK19" s="141">
        <f t="shared" ref="DK19:DK22" si="42">DG19-DO19</f>
        <v>1.3100000000000003</v>
      </c>
      <c r="DL19" s="140"/>
      <c r="DM19" s="349">
        <v>1.43</v>
      </c>
      <c r="DN19" s="205"/>
      <c r="DO19" s="141">
        <f t="shared" ref="DO19:DO22" si="43">EO19</f>
        <v>1.18</v>
      </c>
      <c r="DP19" s="140"/>
      <c r="DQ19" s="349">
        <v>4.54</v>
      </c>
      <c r="DR19" s="205"/>
      <c r="DS19" s="141">
        <f t="shared" ref="DS19:DS22" si="44">ES19</f>
        <v>3.78</v>
      </c>
      <c r="DT19" s="140"/>
      <c r="DU19" s="349">
        <f t="shared" ref="DU19" si="45">DQ19-DY19</f>
        <v>0.95000000000000018</v>
      </c>
      <c r="DV19" s="205"/>
      <c r="DW19" s="349">
        <f t="shared" ref="DW19:DW22" si="46">DS19-EA19</f>
        <v>0.83999999999999986</v>
      </c>
      <c r="DX19" s="12"/>
      <c r="DY19" s="349">
        <v>3.59</v>
      </c>
      <c r="DZ19" s="205"/>
      <c r="EA19" s="141">
        <f t="shared" ref="EA19:EA22" si="47">FA19</f>
        <v>2.94</v>
      </c>
      <c r="EB19" s="140"/>
      <c r="EC19" s="349">
        <f t="shared" ref="EC19" si="48">DY19-EG19</f>
        <v>1.0999999999999996</v>
      </c>
      <c r="ED19" s="205"/>
      <c r="EE19" s="349">
        <f t="shared" ref="EE19:EE22" si="49">EA19-EI19</f>
        <v>0.68000000000000016</v>
      </c>
      <c r="EF19" s="12"/>
      <c r="EG19" s="349">
        <v>2.4900000000000002</v>
      </c>
      <c r="EH19" s="205"/>
      <c r="EI19" s="141">
        <v>2.2599999999999998</v>
      </c>
      <c r="EJ19" s="140"/>
      <c r="EK19" s="349">
        <f t="shared" ref="EK19:EM22" si="50">EG19-EO19</f>
        <v>1.3100000000000003</v>
      </c>
      <c r="EL19" s="205"/>
      <c r="EM19" s="349">
        <f t="shared" si="50"/>
        <v>0.99999999999999978</v>
      </c>
      <c r="EN19" s="140"/>
      <c r="EO19" s="349">
        <v>1.18</v>
      </c>
      <c r="EP19" s="205"/>
      <c r="EQ19" s="141">
        <v>1.26</v>
      </c>
      <c r="ER19" s="140"/>
      <c r="ES19" s="358">
        <v>3.78</v>
      </c>
      <c r="ET19" s="140"/>
      <c r="EU19" s="141">
        <v>5.01</v>
      </c>
      <c r="EV19" s="357"/>
      <c r="EW19" s="358">
        <v>0.84</v>
      </c>
      <c r="EX19" s="140"/>
      <c r="EY19" s="141">
        <v>1.4</v>
      </c>
      <c r="EZ19" s="140"/>
      <c r="FA19" s="141">
        <v>2.94</v>
      </c>
      <c r="FB19" s="140"/>
      <c r="FC19" s="141">
        <v>3.61</v>
      </c>
      <c r="FD19" s="357"/>
      <c r="FE19" s="141">
        <v>0.69</v>
      </c>
      <c r="FF19" s="140"/>
      <c r="FG19" s="141">
        <v>1.0900000000000001</v>
      </c>
      <c r="FH19" s="140"/>
      <c r="FI19" s="357"/>
      <c r="FJ19" s="141">
        <v>2.2599999999999998</v>
      </c>
      <c r="FK19" s="140"/>
      <c r="FL19" s="141">
        <v>2.5299999999999998</v>
      </c>
      <c r="FM19" s="357"/>
      <c r="FN19" s="141">
        <v>0.99</v>
      </c>
      <c r="FO19" s="140"/>
      <c r="FP19" s="141">
        <v>1.1000000000000001</v>
      </c>
      <c r="FQ19" s="357"/>
      <c r="FR19" s="141">
        <v>1.26</v>
      </c>
      <c r="FS19" s="140"/>
      <c r="FT19" s="141">
        <v>1.42</v>
      </c>
      <c r="FU19" s="140"/>
      <c r="FV19" s="141">
        <v>5.01</v>
      </c>
      <c r="FX19" s="141">
        <v>6.45</v>
      </c>
      <c r="FY19" s="357"/>
      <c r="FZ19" s="141">
        <v>1.4</v>
      </c>
      <c r="GA19" s="140"/>
      <c r="GB19" s="141">
        <v>1.7700000000000005</v>
      </c>
      <c r="GC19" s="357"/>
      <c r="GD19" s="141">
        <v>3.61</v>
      </c>
      <c r="GF19" s="141">
        <v>4.68</v>
      </c>
      <c r="GG19" s="357"/>
      <c r="GH19" s="141">
        <v>1.0900000000000001</v>
      </c>
      <c r="GI19" s="140"/>
      <c r="GJ19" s="141">
        <v>1.36</v>
      </c>
      <c r="GK19" s="13"/>
      <c r="GL19" s="207">
        <v>2.5299999999999998</v>
      </c>
      <c r="GN19" s="207">
        <v>3.32</v>
      </c>
      <c r="GO19" s="189"/>
      <c r="GP19" s="207">
        <v>1.1000000000000001</v>
      </c>
      <c r="GQ19" s="205"/>
      <c r="GR19" s="207">
        <v>1.8099999999999998</v>
      </c>
      <c r="GS19" s="189"/>
      <c r="GT19" s="206">
        <v>1.42</v>
      </c>
      <c r="GU19" s="205"/>
      <c r="GV19" s="207">
        <v>1.51</v>
      </c>
      <c r="GW19" s="140"/>
      <c r="GX19" s="206">
        <v>6.45</v>
      </c>
      <c r="GY19" s="205"/>
      <c r="GZ19" s="207">
        <v>6.37</v>
      </c>
      <c r="HA19" s="189"/>
      <c r="HB19" s="206">
        <v>1.7700000000000005</v>
      </c>
      <c r="HC19" s="205"/>
      <c r="HD19" s="207">
        <v>2.16</v>
      </c>
      <c r="HE19" s="189"/>
      <c r="HF19" s="206">
        <f>HJ19-HN19</f>
        <v>1.3599999999999999</v>
      </c>
      <c r="HG19" s="205"/>
      <c r="HH19" s="207">
        <f>HL19-HP19</f>
        <v>1.73</v>
      </c>
      <c r="HI19" s="189"/>
      <c r="HJ19" s="206">
        <v>4.68</v>
      </c>
      <c r="HK19" s="205"/>
      <c r="HL19" s="207">
        <v>4.21</v>
      </c>
      <c r="HM19" s="189"/>
      <c r="HN19" s="206">
        <v>3.32</v>
      </c>
      <c r="HO19" s="205"/>
      <c r="HP19" s="207">
        <f>IS19</f>
        <v>2.48</v>
      </c>
      <c r="HQ19" s="189"/>
      <c r="HR19" s="206">
        <f>HN19-HV19</f>
        <v>1.8099999999999998</v>
      </c>
      <c r="HS19" s="205"/>
      <c r="HT19" s="207">
        <v>1.27</v>
      </c>
      <c r="HU19" s="189"/>
      <c r="HV19" s="206">
        <v>1.51</v>
      </c>
      <c r="HW19" s="205"/>
      <c r="HX19" s="207">
        <v>1.21</v>
      </c>
      <c r="HY19" s="189"/>
      <c r="HZ19" s="206">
        <v>6.37</v>
      </c>
      <c r="IA19" s="205"/>
      <c r="IB19" s="207">
        <v>4.91</v>
      </c>
      <c r="IC19" s="189"/>
      <c r="ID19" s="189"/>
      <c r="IE19" s="206">
        <v>2.16</v>
      </c>
      <c r="IF19" s="205"/>
      <c r="IG19" s="207">
        <v>1.46</v>
      </c>
      <c r="IH19" s="208"/>
      <c r="II19" s="206">
        <v>4.21</v>
      </c>
      <c r="IJ19" s="205"/>
      <c r="IK19" s="207">
        <v>3.45</v>
      </c>
      <c r="IL19" s="189"/>
      <c r="IM19" s="189"/>
      <c r="IN19" s="206">
        <v>1.73</v>
      </c>
      <c r="IO19" s="205"/>
      <c r="IP19" s="207">
        <v>1.4400000000000004</v>
      </c>
      <c r="IQ19" s="189"/>
      <c r="IR19" s="189"/>
      <c r="IS19" s="206">
        <v>2.48</v>
      </c>
      <c r="IT19" s="205"/>
      <c r="IU19" s="207">
        <v>2.0099999999999998</v>
      </c>
      <c r="IV19" s="189"/>
      <c r="IW19" s="189"/>
      <c r="IX19" s="206">
        <v>1.27</v>
      </c>
      <c r="IY19" s="205"/>
      <c r="IZ19" s="207">
        <v>1.0399999999999998</v>
      </c>
      <c r="JA19" s="189"/>
      <c r="JB19" s="206">
        <v>1.21</v>
      </c>
      <c r="JC19" s="205"/>
      <c r="JD19" s="207">
        <v>0.97</v>
      </c>
      <c r="JE19" s="189"/>
      <c r="JF19" s="207">
        <v>4.91</v>
      </c>
      <c r="JG19" s="189"/>
      <c r="JH19" s="207">
        <v>5.4</v>
      </c>
      <c r="JI19" s="189"/>
      <c r="JJ19" s="207">
        <v>1.45</v>
      </c>
      <c r="JK19" s="189"/>
      <c r="JL19" s="207">
        <v>1.41</v>
      </c>
      <c r="JM19" s="189"/>
      <c r="JN19" s="207">
        <v>3.45</v>
      </c>
      <c r="JO19" s="205"/>
      <c r="JP19" s="207">
        <v>3.99</v>
      </c>
      <c r="JQ19" s="205"/>
      <c r="JR19" s="207">
        <v>1.44</v>
      </c>
      <c r="JS19" s="205"/>
      <c r="JT19" s="207">
        <v>1.44</v>
      </c>
      <c r="JU19" s="205"/>
      <c r="JV19" s="207">
        <v>2.0099999999999998</v>
      </c>
      <c r="JW19" s="205"/>
      <c r="JX19" s="207">
        <v>2.5499999999999998</v>
      </c>
      <c r="JY19" s="205"/>
      <c r="JZ19" s="207">
        <v>1.04</v>
      </c>
      <c r="KA19" s="205"/>
      <c r="KB19" s="207">
        <v>1.3</v>
      </c>
      <c r="KC19" s="205"/>
      <c r="KD19" s="207">
        <v>0.97</v>
      </c>
      <c r="KE19" s="205"/>
      <c r="KF19" s="207">
        <v>1.25</v>
      </c>
      <c r="KG19" s="205"/>
      <c r="KH19" s="207">
        <v>5.4</v>
      </c>
      <c r="KI19" s="205"/>
      <c r="KJ19" s="207">
        <v>5.45</v>
      </c>
      <c r="KK19" s="205"/>
      <c r="KL19" s="207">
        <v>1.41</v>
      </c>
      <c r="KM19" s="205"/>
      <c r="KN19" s="207">
        <v>1.19</v>
      </c>
      <c r="KO19" s="205"/>
      <c r="KP19" s="207">
        <v>3.99</v>
      </c>
      <c r="KQ19" s="157"/>
      <c r="KR19" s="207">
        <v>4.26</v>
      </c>
      <c r="KS19" s="157"/>
      <c r="KT19" s="207">
        <v>1.44</v>
      </c>
      <c r="KU19" s="157"/>
      <c r="KV19" s="207">
        <v>1.26</v>
      </c>
      <c r="KW19" s="157"/>
      <c r="KX19" s="207">
        <v>2.5499999999999998</v>
      </c>
      <c r="KY19" s="157"/>
      <c r="KZ19" s="207">
        <v>3</v>
      </c>
      <c r="LA19" s="157"/>
      <c r="LB19" s="207">
        <v>1.3</v>
      </c>
      <c r="LC19" s="157"/>
      <c r="LD19" s="207">
        <v>1.48</v>
      </c>
      <c r="LE19" s="157"/>
      <c r="LF19" s="207">
        <v>1.25</v>
      </c>
      <c r="LG19" s="157"/>
      <c r="LH19" s="207">
        <v>1.52</v>
      </c>
      <c r="LI19" s="157"/>
      <c r="LJ19" s="157"/>
      <c r="LK19" s="157"/>
      <c r="LL19" s="157"/>
      <c r="LM19" s="157"/>
      <c r="LN19" s="157"/>
      <c r="LO19" s="157"/>
      <c r="LP19" s="157"/>
      <c r="LQ19" s="157"/>
      <c r="LR19" s="157"/>
      <c r="LS19" s="157"/>
      <c r="LT19" s="157"/>
      <c r="LU19" s="157"/>
      <c r="LV19" s="157"/>
      <c r="LW19" s="157"/>
      <c r="LX19" s="157"/>
      <c r="LY19" s="157"/>
      <c r="LZ19" s="157"/>
      <c r="MA19" s="157"/>
      <c r="MB19" s="157"/>
      <c r="MC19" s="157"/>
      <c r="MD19" s="157"/>
      <c r="ME19" s="157"/>
      <c r="MF19" s="157"/>
      <c r="MG19" s="157"/>
      <c r="MH19" s="157"/>
      <c r="MI19" s="157"/>
      <c r="MJ19" s="157"/>
      <c r="MK19" s="157"/>
      <c r="ML19" s="157"/>
      <c r="MM19" s="157"/>
      <c r="MN19" s="157"/>
      <c r="MO19" s="157"/>
      <c r="MP19" s="157"/>
      <c r="MQ19" s="157"/>
      <c r="MR19" s="157"/>
      <c r="MS19" s="157"/>
      <c r="MT19" s="157"/>
      <c r="MU19" s="157"/>
      <c r="MV19" s="157"/>
      <c r="MW19" s="157"/>
      <c r="MX19" s="157"/>
      <c r="MY19" s="157"/>
      <c r="MZ19" s="157"/>
      <c r="NA19" s="157"/>
      <c r="NB19" s="157"/>
      <c r="NC19" s="157"/>
      <c r="ND19" s="157"/>
      <c r="NE19" s="157"/>
      <c r="NF19" s="157"/>
      <c r="NG19" s="157"/>
      <c r="NH19" s="157"/>
      <c r="NI19" s="157"/>
      <c r="NJ19" s="157"/>
      <c r="NK19" s="157"/>
      <c r="NL19" s="157"/>
      <c r="NM19" s="157"/>
      <c r="NN19" s="157"/>
      <c r="NO19" s="157"/>
      <c r="NP19" s="157"/>
      <c r="NQ19" s="157"/>
      <c r="NR19" s="157"/>
      <c r="NS19" s="157"/>
      <c r="NT19" s="157"/>
      <c r="NU19" s="157"/>
      <c r="NV19" s="157"/>
      <c r="NW19" s="157"/>
      <c r="NX19" s="157"/>
      <c r="NY19" s="157"/>
      <c r="NZ19" s="157"/>
      <c r="OA19" s="157"/>
      <c r="OB19" s="157"/>
      <c r="OC19" s="157"/>
      <c r="OD19" s="157"/>
      <c r="OE19" s="157"/>
      <c r="OF19" s="157"/>
      <c r="OG19" s="157"/>
      <c r="OH19" s="157"/>
    </row>
    <row r="20" spans="1:398">
      <c r="A20" s="7" t="s">
        <v>52</v>
      </c>
      <c r="B20" s="13" t="s">
        <v>3</v>
      </c>
      <c r="C20" s="194"/>
      <c r="D20" s="350">
        <f>'Dane operacyjne_Operating data'!I6</f>
        <v>3.4899999999999998</v>
      </c>
      <c r="E20" s="194"/>
      <c r="F20" s="140">
        <f t="shared" ref="F20:F22" si="51">AG20</f>
        <v>3.21</v>
      </c>
      <c r="G20" s="140"/>
      <c r="H20" s="194"/>
      <c r="I20" s="350">
        <f>'Dane operacyjne_Operating data'!J6</f>
        <v>11.507999999999999</v>
      </c>
      <c r="J20" s="194"/>
      <c r="K20" s="140">
        <f>'Dane operacyjne_Operating data'!O6</f>
        <v>12.667999999999999</v>
      </c>
      <c r="L20" s="140"/>
      <c r="M20" s="350">
        <f>'Dane operacyjne_Operating data'!K6</f>
        <v>3.51</v>
      </c>
      <c r="N20" s="194"/>
      <c r="O20" s="140">
        <f>'Dane operacyjne_Operating data'!P6</f>
        <v>3.68</v>
      </c>
      <c r="P20" s="140"/>
      <c r="Q20" s="350">
        <f>6.8+1.2</f>
        <v>8</v>
      </c>
      <c r="R20" s="194"/>
      <c r="S20" s="140">
        <f t="shared" ref="S20:S21" si="52">AS20</f>
        <v>8.99</v>
      </c>
      <c r="T20" s="140"/>
      <c r="U20" s="350">
        <f t="shared" ref="U20:U22" si="53">Q20-Y20</f>
        <v>2.59</v>
      </c>
      <c r="V20" s="194"/>
      <c r="W20" s="140">
        <f t="shared" ref="W20:W22" si="54">AW20</f>
        <v>2.68</v>
      </c>
      <c r="X20" s="140"/>
      <c r="Y20" s="350">
        <f>4.53+0.88</f>
        <v>5.41</v>
      </c>
      <c r="Z20" s="194"/>
      <c r="AA20" s="140">
        <f>5.43+0.87</f>
        <v>6.3</v>
      </c>
      <c r="AB20" s="140"/>
      <c r="AC20" s="350">
        <f t="shared" ref="AC20:AE22" si="55">Y20-AG20</f>
        <v>2.2000000000000002</v>
      </c>
      <c r="AD20" s="194"/>
      <c r="AE20" s="350">
        <f t="shared" si="55"/>
        <v>2.46</v>
      </c>
      <c r="AF20" s="194"/>
      <c r="AG20" s="350">
        <v>3.21</v>
      </c>
      <c r="AH20" s="194"/>
      <c r="AI20" s="140">
        <f>BI20</f>
        <v>3.84</v>
      </c>
      <c r="AJ20" s="194"/>
      <c r="AK20" s="350">
        <f>10.99+1.67</f>
        <v>12.66</v>
      </c>
      <c r="AL20" s="194"/>
      <c r="AM20" s="140">
        <f t="shared" si="25"/>
        <v>15.47</v>
      </c>
      <c r="AN20" s="140"/>
      <c r="AO20" s="350">
        <f>AK20-AS20</f>
        <v>3.67</v>
      </c>
      <c r="AP20" s="194"/>
      <c r="AQ20" s="140">
        <f t="shared" si="26"/>
        <v>4.2900000000000009</v>
      </c>
      <c r="AR20" s="140"/>
      <c r="AS20" s="350">
        <v>8.99</v>
      </c>
      <c r="AT20" s="194"/>
      <c r="AU20" s="140">
        <f t="shared" ref="AU20:AU21" si="56">BU20</f>
        <v>11.17</v>
      </c>
      <c r="AV20" s="140"/>
      <c r="AW20" s="350">
        <v>2.68</v>
      </c>
      <c r="AX20" s="194"/>
      <c r="AY20" s="140">
        <f t="shared" si="28"/>
        <v>3.32</v>
      </c>
      <c r="AZ20" s="140"/>
      <c r="BA20" s="350">
        <v>6.3</v>
      </c>
      <c r="BB20" s="194"/>
      <c r="BC20" s="140">
        <v>7.84</v>
      </c>
      <c r="BD20" s="140"/>
      <c r="BE20" s="350">
        <v>2.46</v>
      </c>
      <c r="BF20" s="194"/>
      <c r="BG20" s="140">
        <v>3.94</v>
      </c>
      <c r="BH20" s="140"/>
      <c r="BI20" s="350">
        <v>3.84</v>
      </c>
      <c r="BJ20" s="194"/>
      <c r="BK20" s="140">
        <f t="shared" si="31"/>
        <v>3.8818000000000001</v>
      </c>
      <c r="BL20" s="140"/>
      <c r="BM20" s="350">
        <f>1.57+13.9</f>
        <v>15.47</v>
      </c>
      <c r="BN20" s="194"/>
      <c r="BO20" s="140">
        <f t="shared" si="32"/>
        <v>15.59</v>
      </c>
      <c r="BP20" s="140"/>
      <c r="BQ20" s="350">
        <f>BM20-BU20-0.01</f>
        <v>4.2900000000000009</v>
      </c>
      <c r="BR20" s="194"/>
      <c r="BS20" s="140">
        <f t="shared" si="33"/>
        <v>4.2099999999999991</v>
      </c>
      <c r="BT20" s="140"/>
      <c r="BU20" s="350">
        <v>11.17</v>
      </c>
      <c r="BV20" s="194"/>
      <c r="BW20" s="140">
        <v>11.38</v>
      </c>
      <c r="BX20" s="140"/>
      <c r="BY20" s="350">
        <v>3.32</v>
      </c>
      <c r="BZ20" s="194"/>
      <c r="CA20" s="140">
        <f t="shared" si="34"/>
        <v>3.6500000000000004</v>
      </c>
      <c r="CB20" s="140"/>
      <c r="CC20" s="350">
        <v>7.8</v>
      </c>
      <c r="CD20" s="194"/>
      <c r="CE20" s="140">
        <v>7.73</v>
      </c>
      <c r="CF20" s="140"/>
      <c r="CG20" s="350">
        <f t="shared" ref="CG20:CG22" si="57">CC20-CK20</f>
        <v>3.9181999999999997</v>
      </c>
      <c r="CH20" s="194"/>
      <c r="CI20" s="140">
        <f t="shared" ref="CI20:CI22" si="58">CE20-CM20</f>
        <v>3.5100000000000007</v>
      </c>
      <c r="CJ20" s="140"/>
      <c r="CK20" s="350">
        <f>3.337+0.5448</f>
        <v>3.8818000000000001</v>
      </c>
      <c r="CL20" s="194"/>
      <c r="CM20" s="140">
        <f t="shared" si="35"/>
        <v>4.22</v>
      </c>
      <c r="CN20" s="140"/>
      <c r="CO20" s="350">
        <f>13.88+1.71</f>
        <v>15.59</v>
      </c>
      <c r="CP20" s="194"/>
      <c r="CQ20" s="140">
        <f t="shared" si="36"/>
        <v>12.5</v>
      </c>
      <c r="CR20" s="140"/>
      <c r="CS20" s="350">
        <f t="shared" si="37"/>
        <v>4.2099999999999991</v>
      </c>
      <c r="CT20" s="194"/>
      <c r="CU20" s="140">
        <f t="shared" si="38"/>
        <v>3.7899999999999991</v>
      </c>
      <c r="CV20" s="140"/>
      <c r="CW20" s="350">
        <v>11.38</v>
      </c>
      <c r="CX20" s="194"/>
      <c r="CY20" s="140">
        <v>8.7100000000000009</v>
      </c>
      <c r="CZ20" s="140"/>
      <c r="DA20" s="350">
        <f t="shared" si="39"/>
        <v>3.6500000000000004</v>
      </c>
      <c r="DB20" s="194"/>
      <c r="DC20" s="140">
        <f t="shared" si="40"/>
        <v>2.8400000000000007</v>
      </c>
      <c r="DD20" s="140"/>
      <c r="DE20" s="350">
        <v>7.73</v>
      </c>
      <c r="DF20" s="194"/>
      <c r="DG20" s="140">
        <v>5.87</v>
      </c>
      <c r="DH20" s="140"/>
      <c r="DI20" s="350">
        <f t="shared" si="41"/>
        <v>3.5100000000000007</v>
      </c>
      <c r="DJ20" s="194"/>
      <c r="DK20" s="140">
        <f t="shared" si="42"/>
        <v>2.66</v>
      </c>
      <c r="DL20" s="140"/>
      <c r="DM20" s="350">
        <v>4.22</v>
      </c>
      <c r="DN20" s="194"/>
      <c r="DO20" s="140">
        <f t="shared" si="43"/>
        <v>3.21</v>
      </c>
      <c r="DP20" s="140"/>
      <c r="DQ20" s="350">
        <f>10.56+1.94</f>
        <v>12.5</v>
      </c>
      <c r="DR20" s="194"/>
      <c r="DS20" s="140">
        <f t="shared" si="44"/>
        <v>13.88</v>
      </c>
      <c r="DT20" s="140"/>
      <c r="DU20" s="350">
        <f>DQ20-DY20</f>
        <v>3.7899999999999991</v>
      </c>
      <c r="DV20" s="194"/>
      <c r="DW20" s="350">
        <f t="shared" si="46"/>
        <v>3.4700000000000006</v>
      </c>
      <c r="DX20" s="13"/>
      <c r="DY20" s="350">
        <v>8.7100000000000009</v>
      </c>
      <c r="DZ20" s="194"/>
      <c r="EA20" s="140">
        <f t="shared" si="47"/>
        <v>10.41</v>
      </c>
      <c r="EB20" s="140"/>
      <c r="EC20" s="350">
        <f>DY20-EG20</f>
        <v>2.8400000000000007</v>
      </c>
      <c r="ED20" s="194"/>
      <c r="EE20" s="350">
        <f t="shared" si="49"/>
        <v>3.26</v>
      </c>
      <c r="EF20" s="13"/>
      <c r="EG20" s="350">
        <f>1+4.87</f>
        <v>5.87</v>
      </c>
      <c r="EH20" s="194"/>
      <c r="EI20" s="140">
        <v>7.15</v>
      </c>
      <c r="EJ20" s="140"/>
      <c r="EK20" s="350">
        <f>EG20-EO20</f>
        <v>2.66</v>
      </c>
      <c r="EL20" s="194"/>
      <c r="EM20" s="350">
        <f t="shared" si="50"/>
        <v>3.3300000000000005</v>
      </c>
      <c r="EN20" s="140"/>
      <c r="EO20" s="350">
        <v>3.21</v>
      </c>
      <c r="EP20" s="194"/>
      <c r="EQ20" s="140">
        <v>3.82</v>
      </c>
      <c r="ER20" s="140"/>
      <c r="ES20" s="359">
        <v>13.88</v>
      </c>
      <c r="ET20" s="142"/>
      <c r="EU20" s="140">
        <v>16.21</v>
      </c>
      <c r="EV20" s="357"/>
      <c r="EW20" s="359">
        <v>3.47</v>
      </c>
      <c r="EX20" s="142"/>
      <c r="EY20" s="140">
        <v>4.3</v>
      </c>
      <c r="EZ20" s="140"/>
      <c r="FA20" s="140">
        <v>10.41</v>
      </c>
      <c r="FB20" s="142"/>
      <c r="FC20" s="140">
        <v>11.9</v>
      </c>
      <c r="FD20" s="357"/>
      <c r="FE20" s="140">
        <v>3.26</v>
      </c>
      <c r="FF20" s="142"/>
      <c r="FG20" s="140">
        <v>4.3499999999999996</v>
      </c>
      <c r="FH20" s="140"/>
      <c r="FI20" s="357"/>
      <c r="FJ20" s="140">
        <v>7.15</v>
      </c>
      <c r="FK20" s="142"/>
      <c r="FL20" s="140">
        <v>7.55</v>
      </c>
      <c r="FM20" s="357"/>
      <c r="FN20" s="140">
        <v>3.33</v>
      </c>
      <c r="FO20" s="142"/>
      <c r="FP20" s="140">
        <v>3.62</v>
      </c>
      <c r="FQ20" s="357"/>
      <c r="FR20" s="140">
        <v>3.82</v>
      </c>
      <c r="FS20" s="142"/>
      <c r="FT20" s="140">
        <v>3.94</v>
      </c>
      <c r="FU20" s="140"/>
      <c r="FV20" s="140">
        <v>16.21</v>
      </c>
      <c r="FX20" s="142">
        <v>18.41</v>
      </c>
      <c r="FY20" s="357"/>
      <c r="FZ20" s="140">
        <v>4.3100000000000005</v>
      </c>
      <c r="GA20" s="142"/>
      <c r="GB20" s="140">
        <v>4.3800000000000008</v>
      </c>
      <c r="GC20" s="357"/>
      <c r="GD20" s="140">
        <v>11.9</v>
      </c>
      <c r="GF20" s="142">
        <v>14.03</v>
      </c>
      <c r="GG20" s="357"/>
      <c r="GH20" s="140">
        <v>4.3499999999999996</v>
      </c>
      <c r="GI20" s="142"/>
      <c r="GJ20" s="140">
        <v>4.57</v>
      </c>
      <c r="GK20" s="13"/>
      <c r="GL20" s="205">
        <v>7.55</v>
      </c>
      <c r="GN20" s="194">
        <v>9.4600000000000009</v>
      </c>
      <c r="GO20" s="189"/>
      <c r="GP20" s="205">
        <v>3.62</v>
      </c>
      <c r="GQ20" s="194"/>
      <c r="GR20" s="205">
        <v>4.5599999999999996</v>
      </c>
      <c r="GS20" s="189"/>
      <c r="GT20" s="208">
        <v>3.94</v>
      </c>
      <c r="GU20" s="194"/>
      <c r="GV20" s="205">
        <v>4.8899999999999997</v>
      </c>
      <c r="GW20" s="140"/>
      <c r="GX20" s="208">
        <v>18.41</v>
      </c>
      <c r="GY20" s="194"/>
      <c r="GZ20" s="194">
        <v>16.8</v>
      </c>
      <c r="HA20" s="189"/>
      <c r="HB20" s="208">
        <v>4.3800000000000008</v>
      </c>
      <c r="HC20" s="194"/>
      <c r="HD20" s="205">
        <v>4.3600000000000003</v>
      </c>
      <c r="HE20" s="189"/>
      <c r="HF20" s="208">
        <f>HJ20-HN20</f>
        <v>4.5699999999999985</v>
      </c>
      <c r="HG20" s="194"/>
      <c r="HH20" s="205">
        <f>HL20-HP20</f>
        <v>4</v>
      </c>
      <c r="HI20" s="189"/>
      <c r="HJ20" s="208">
        <v>14.03</v>
      </c>
      <c r="HK20" s="194"/>
      <c r="HL20" s="194">
        <v>12.45</v>
      </c>
      <c r="HM20" s="189"/>
      <c r="HN20" s="208">
        <v>9.4600000000000009</v>
      </c>
      <c r="HO20" s="194"/>
      <c r="HP20" s="194">
        <f>IS20</f>
        <v>8.4499999999999993</v>
      </c>
      <c r="HQ20" s="189"/>
      <c r="HR20" s="208">
        <v>4.5599999999999996</v>
      </c>
      <c r="HS20" s="194"/>
      <c r="HT20" s="205">
        <v>4.1399999999999997</v>
      </c>
      <c r="HU20" s="189"/>
      <c r="HV20" s="208">
        <v>4.8899999999999997</v>
      </c>
      <c r="HW20" s="194"/>
      <c r="HX20" s="194">
        <v>4.3099999999999996</v>
      </c>
      <c r="HY20" s="189"/>
      <c r="HZ20" s="208">
        <v>16.8</v>
      </c>
      <c r="IA20" s="194"/>
      <c r="IB20" s="194">
        <v>18.559999999999999</v>
      </c>
      <c r="IC20" s="189"/>
      <c r="ID20" s="189"/>
      <c r="IE20" s="208">
        <v>4.3500000000000014</v>
      </c>
      <c r="IF20" s="194"/>
      <c r="IG20" s="194">
        <v>4.759999999999998</v>
      </c>
      <c r="IH20" s="208"/>
      <c r="II20" s="208">
        <v>12.45</v>
      </c>
      <c r="IJ20" s="194"/>
      <c r="IK20" s="194">
        <v>13.8</v>
      </c>
      <c r="IL20" s="189"/>
      <c r="IM20" s="189"/>
      <c r="IN20" s="208">
        <v>4</v>
      </c>
      <c r="IO20" s="194"/>
      <c r="IP20" s="194">
        <v>5.0400000000000009</v>
      </c>
      <c r="IQ20" s="189"/>
      <c r="IR20" s="189"/>
      <c r="IS20" s="208">
        <v>8.4499999999999993</v>
      </c>
      <c r="IT20" s="194"/>
      <c r="IU20" s="205">
        <v>8.76</v>
      </c>
      <c r="IV20" s="189"/>
      <c r="IW20" s="189"/>
      <c r="IX20" s="208">
        <v>4.1399999999999997</v>
      </c>
      <c r="IY20" s="194"/>
      <c r="IZ20" s="205">
        <v>4.3599999999999994</v>
      </c>
      <c r="JA20" s="189"/>
      <c r="JB20" s="208">
        <v>4.3099999999999996</v>
      </c>
      <c r="JC20" s="194"/>
      <c r="JD20" s="205">
        <v>4.4000000000000004</v>
      </c>
      <c r="JE20" s="189"/>
      <c r="JF20" s="205">
        <v>16.64</v>
      </c>
      <c r="JG20" s="189"/>
      <c r="JH20" s="205">
        <v>15.37</v>
      </c>
      <c r="JI20" s="189"/>
      <c r="JJ20" s="205">
        <v>4.25</v>
      </c>
      <c r="JK20" s="189"/>
      <c r="JL20" s="205">
        <v>4.1100000000000003</v>
      </c>
      <c r="JM20" s="189"/>
      <c r="JN20" s="205">
        <v>12.38</v>
      </c>
      <c r="JO20" s="194"/>
      <c r="JP20" s="205">
        <v>11.27</v>
      </c>
      <c r="JQ20" s="194"/>
      <c r="JR20" s="205">
        <v>4.54</v>
      </c>
      <c r="JS20" s="194"/>
      <c r="JT20" s="205">
        <v>3.98</v>
      </c>
      <c r="JU20" s="194"/>
      <c r="JV20" s="205">
        <v>7.84</v>
      </c>
      <c r="JW20" s="194"/>
      <c r="JX20" s="205">
        <v>7.29</v>
      </c>
      <c r="JY20" s="194"/>
      <c r="JZ20" s="205">
        <v>3.92</v>
      </c>
      <c r="KA20" s="194"/>
      <c r="KB20" s="205">
        <v>3.59</v>
      </c>
      <c r="KC20" s="194"/>
      <c r="KD20" s="205">
        <v>3.93</v>
      </c>
      <c r="KE20" s="194"/>
      <c r="KF20" s="205">
        <v>3.69</v>
      </c>
      <c r="KG20" s="194"/>
      <c r="KH20" s="205">
        <v>15.37</v>
      </c>
      <c r="KI20" s="194"/>
      <c r="KJ20" s="205">
        <v>19.39</v>
      </c>
      <c r="KK20" s="194"/>
      <c r="KL20" s="205">
        <v>4.1100000000000003</v>
      </c>
      <c r="KM20" s="194"/>
      <c r="KN20" s="205">
        <v>5.1100000000000003</v>
      </c>
      <c r="KO20" s="205"/>
      <c r="KP20" s="205">
        <v>11.27</v>
      </c>
      <c r="KQ20" s="157"/>
      <c r="KR20" s="205">
        <v>14.28</v>
      </c>
      <c r="KS20" s="157"/>
      <c r="KT20" s="205">
        <v>3.98</v>
      </c>
      <c r="KU20" s="157"/>
      <c r="KV20" s="205">
        <v>4.53</v>
      </c>
      <c r="KW20" s="157"/>
      <c r="KX20" s="205">
        <v>7.29</v>
      </c>
      <c r="KY20" s="157"/>
      <c r="KZ20" s="205">
        <v>9.75</v>
      </c>
      <c r="LA20" s="157"/>
      <c r="LB20" s="205">
        <v>3.59</v>
      </c>
      <c r="LC20" s="157"/>
      <c r="LD20" s="205">
        <v>4.5999999999999996</v>
      </c>
      <c r="LE20" s="157"/>
      <c r="LF20" s="205">
        <v>3.69</v>
      </c>
      <c r="LG20" s="157"/>
      <c r="LH20" s="205">
        <v>5.15</v>
      </c>
      <c r="LI20" s="157"/>
      <c r="LJ20" s="157"/>
      <c r="LK20" s="157"/>
      <c r="LL20" s="157"/>
      <c r="LM20" s="157"/>
      <c r="LN20" s="157"/>
      <c r="LO20" s="157"/>
      <c r="LP20" s="157"/>
      <c r="LQ20" s="157"/>
      <c r="LR20" s="157"/>
      <c r="LS20" s="157"/>
      <c r="LT20" s="157"/>
      <c r="LU20" s="157"/>
      <c r="LV20" s="157"/>
      <c r="LW20" s="157"/>
      <c r="LX20" s="157"/>
      <c r="LY20" s="157"/>
      <c r="LZ20" s="157"/>
      <c r="MA20" s="157"/>
      <c r="MB20" s="157"/>
      <c r="MC20" s="157"/>
      <c r="MD20" s="157"/>
      <c r="ME20" s="157"/>
      <c r="MF20" s="157"/>
      <c r="MG20" s="157"/>
      <c r="MH20" s="157"/>
      <c r="MI20" s="157"/>
      <c r="MJ20" s="157"/>
      <c r="MK20" s="157"/>
      <c r="ML20" s="157"/>
      <c r="MM20" s="157"/>
      <c r="MN20" s="157"/>
      <c r="MO20" s="157"/>
      <c r="MP20" s="157"/>
      <c r="MQ20" s="157"/>
      <c r="MR20" s="157"/>
      <c r="MS20" s="157"/>
      <c r="MT20" s="157"/>
      <c r="MU20" s="157"/>
      <c r="MV20" s="157"/>
      <c r="MW20" s="157"/>
      <c r="MX20" s="157"/>
      <c r="MY20" s="157"/>
      <c r="MZ20" s="157"/>
      <c r="NA20" s="157"/>
      <c r="NB20" s="157"/>
      <c r="NC20" s="157"/>
      <c r="ND20" s="157"/>
      <c r="NE20" s="157"/>
      <c r="NF20" s="157"/>
      <c r="NG20" s="157"/>
      <c r="NH20" s="157"/>
      <c r="NI20" s="157"/>
      <c r="NJ20" s="157"/>
      <c r="NK20" s="157"/>
      <c r="NL20" s="157"/>
      <c r="NM20" s="157"/>
      <c r="NN20" s="157"/>
      <c r="NO20" s="157"/>
      <c r="NP20" s="157"/>
      <c r="NQ20" s="157"/>
      <c r="NR20" s="157"/>
      <c r="NS20" s="157"/>
      <c r="NT20" s="157"/>
      <c r="NU20" s="157"/>
      <c r="NV20" s="157"/>
      <c r="NW20" s="157"/>
      <c r="NX20" s="157"/>
      <c r="NY20" s="157"/>
      <c r="NZ20" s="157"/>
      <c r="OA20" s="157"/>
      <c r="OB20" s="157"/>
      <c r="OC20" s="157"/>
      <c r="OD20" s="157"/>
      <c r="OE20" s="157"/>
      <c r="OF20" s="157"/>
      <c r="OG20" s="157"/>
      <c r="OH20" s="157"/>
    </row>
    <row r="21" spans="1:398">
      <c r="A21" s="7" t="s">
        <v>40</v>
      </c>
      <c r="B21" s="13" t="s">
        <v>3</v>
      </c>
      <c r="C21" s="194"/>
      <c r="D21" s="350">
        <f>'Dane operacyjne_Operating data'!I12</f>
        <v>13.73</v>
      </c>
      <c r="E21" s="194"/>
      <c r="F21" s="140">
        <f t="shared" si="51"/>
        <v>13.65</v>
      </c>
      <c r="G21" s="140"/>
      <c r="H21" s="194"/>
      <c r="I21" s="350">
        <f>'Dane operacyjne_Operating data'!J12</f>
        <v>51.67</v>
      </c>
      <c r="J21" s="194"/>
      <c r="K21" s="140">
        <f>'Dane operacyjne_Operating data'!O12</f>
        <v>51.295544999999997</v>
      </c>
      <c r="L21" s="140"/>
      <c r="M21" s="350">
        <f>'Dane operacyjne_Operating data'!K12</f>
        <v>13.16</v>
      </c>
      <c r="N21" s="194"/>
      <c r="O21" s="140">
        <f>'Dane operacyjne_Operating data'!P12</f>
        <v>13.028544999999999</v>
      </c>
      <c r="P21" s="140"/>
      <c r="Q21" s="350">
        <v>38.51</v>
      </c>
      <c r="R21" s="194"/>
      <c r="S21" s="140">
        <f t="shared" si="52"/>
        <v>38.270000000000003</v>
      </c>
      <c r="T21" s="140"/>
      <c r="U21" s="350">
        <f t="shared" si="53"/>
        <v>12.479999999999997</v>
      </c>
      <c r="V21" s="194"/>
      <c r="W21" s="140">
        <f t="shared" si="54"/>
        <v>12.28</v>
      </c>
      <c r="X21" s="140"/>
      <c r="Y21" s="350">
        <v>26.03</v>
      </c>
      <c r="Z21" s="194"/>
      <c r="AA21" s="140">
        <v>25.98</v>
      </c>
      <c r="AB21" s="140"/>
      <c r="AC21" s="350">
        <f t="shared" si="55"/>
        <v>12.38</v>
      </c>
      <c r="AD21" s="194"/>
      <c r="AE21" s="350">
        <f t="shared" si="55"/>
        <v>12.32</v>
      </c>
      <c r="AF21" s="194"/>
      <c r="AG21" s="350">
        <v>13.65</v>
      </c>
      <c r="AH21" s="194"/>
      <c r="AI21" s="140">
        <f>BI21</f>
        <v>13.66</v>
      </c>
      <c r="AJ21" s="194"/>
      <c r="AK21" s="350">
        <v>51.3</v>
      </c>
      <c r="AL21" s="194"/>
      <c r="AM21" s="140">
        <f t="shared" si="25"/>
        <v>53.68</v>
      </c>
      <c r="AN21" s="140"/>
      <c r="AO21" s="350">
        <v>12.28</v>
      </c>
      <c r="AP21" s="194"/>
      <c r="AQ21" s="140">
        <f t="shared" si="26"/>
        <v>13.379999999999997</v>
      </c>
      <c r="AR21" s="140"/>
      <c r="AS21" s="350">
        <v>38.270000000000003</v>
      </c>
      <c r="AT21" s="194"/>
      <c r="AU21" s="140">
        <f t="shared" si="56"/>
        <v>40.31</v>
      </c>
      <c r="AV21" s="140"/>
      <c r="AW21" s="350">
        <v>12.28</v>
      </c>
      <c r="AX21" s="194"/>
      <c r="AY21" s="140">
        <f t="shared" si="28"/>
        <v>12.850000000000001</v>
      </c>
      <c r="AZ21" s="140"/>
      <c r="BA21" s="350">
        <v>25.98</v>
      </c>
      <c r="BB21" s="194"/>
      <c r="BC21" s="140">
        <f t="shared" si="29"/>
        <v>27.46</v>
      </c>
      <c r="BD21" s="140"/>
      <c r="BE21" s="350">
        <v>12.32</v>
      </c>
      <c r="BF21" s="194"/>
      <c r="BG21" s="140">
        <f t="shared" si="30"/>
        <v>13.200000000000001</v>
      </c>
      <c r="BH21" s="140"/>
      <c r="BI21" s="350">
        <v>13.66</v>
      </c>
      <c r="BJ21" s="194"/>
      <c r="BK21" s="140">
        <f t="shared" si="31"/>
        <v>14.26</v>
      </c>
      <c r="BL21" s="140"/>
      <c r="BM21" s="350">
        <v>53.68</v>
      </c>
      <c r="BN21" s="194"/>
      <c r="BO21" s="140">
        <f t="shared" si="32"/>
        <v>53.97</v>
      </c>
      <c r="BP21" s="140"/>
      <c r="BQ21" s="350">
        <f>BM21-BU21+0.01</f>
        <v>13.379999999999997</v>
      </c>
      <c r="BR21" s="194"/>
      <c r="BS21" s="140">
        <f t="shared" si="33"/>
        <v>13.909999999999997</v>
      </c>
      <c r="BT21" s="140"/>
      <c r="BU21" s="350">
        <v>40.31</v>
      </c>
      <c r="BV21" s="194"/>
      <c r="BW21" s="140">
        <v>40.06</v>
      </c>
      <c r="BX21" s="140"/>
      <c r="BY21" s="350">
        <f t="shared" ref="BY21:BY22" si="59">BU21-CC21</f>
        <v>12.850000000000001</v>
      </c>
      <c r="BZ21" s="194"/>
      <c r="CA21" s="140">
        <f t="shared" si="34"/>
        <v>13.3</v>
      </c>
      <c r="CB21" s="140"/>
      <c r="CC21" s="350">
        <v>27.46</v>
      </c>
      <c r="CD21" s="194"/>
      <c r="CE21" s="140">
        <v>26.76</v>
      </c>
      <c r="CF21" s="140"/>
      <c r="CG21" s="350">
        <f t="shared" si="57"/>
        <v>13.200000000000001</v>
      </c>
      <c r="CH21" s="194"/>
      <c r="CI21" s="140">
        <f t="shared" si="58"/>
        <v>12.970000000000002</v>
      </c>
      <c r="CJ21" s="140"/>
      <c r="CK21" s="350">
        <v>14.26</v>
      </c>
      <c r="CL21" s="194"/>
      <c r="CM21" s="140">
        <f t="shared" si="35"/>
        <v>13.79</v>
      </c>
      <c r="CN21" s="140"/>
      <c r="CO21" s="350">
        <v>53.97</v>
      </c>
      <c r="CP21" s="194"/>
      <c r="CQ21" s="140">
        <f t="shared" si="36"/>
        <v>50.26</v>
      </c>
      <c r="CR21" s="140"/>
      <c r="CS21" s="350">
        <f t="shared" si="37"/>
        <v>13.909999999999997</v>
      </c>
      <c r="CT21" s="194"/>
      <c r="CU21" s="140">
        <f t="shared" si="38"/>
        <v>13.32</v>
      </c>
      <c r="CV21" s="140"/>
      <c r="CW21" s="350">
        <v>40.06</v>
      </c>
      <c r="CX21" s="194"/>
      <c r="CY21" s="140">
        <v>36.94</v>
      </c>
      <c r="CZ21" s="140"/>
      <c r="DA21" s="350">
        <f t="shared" si="39"/>
        <v>13.3</v>
      </c>
      <c r="DB21" s="194"/>
      <c r="DC21" s="140">
        <f t="shared" si="40"/>
        <v>12.339999999999996</v>
      </c>
      <c r="DD21" s="140"/>
      <c r="DE21" s="350">
        <v>26.76</v>
      </c>
      <c r="DF21" s="194"/>
      <c r="DG21" s="140">
        <v>24.6</v>
      </c>
      <c r="DH21" s="140"/>
      <c r="DI21" s="350">
        <f t="shared" si="41"/>
        <v>12.970000000000002</v>
      </c>
      <c r="DJ21" s="194"/>
      <c r="DK21" s="140">
        <f t="shared" si="42"/>
        <v>11.350000000000001</v>
      </c>
      <c r="DL21" s="140"/>
      <c r="DM21" s="350">
        <v>13.79</v>
      </c>
      <c r="DN21" s="194"/>
      <c r="DO21" s="140">
        <f t="shared" si="43"/>
        <v>13.25</v>
      </c>
      <c r="DP21" s="140"/>
      <c r="DQ21" s="350">
        <v>50.26</v>
      </c>
      <c r="DR21" s="194"/>
      <c r="DS21" s="140">
        <f t="shared" si="44"/>
        <v>51.73</v>
      </c>
      <c r="DT21" s="140"/>
      <c r="DU21" s="350">
        <f t="shared" ref="DU21:DU22" si="60">DQ21-DY21</f>
        <v>13.32</v>
      </c>
      <c r="DV21" s="194"/>
      <c r="DW21" s="350">
        <f t="shared" si="46"/>
        <v>12.989999999999995</v>
      </c>
      <c r="DX21" s="13"/>
      <c r="DY21" s="350">
        <v>36.94</v>
      </c>
      <c r="DZ21" s="194"/>
      <c r="EA21" s="140">
        <f t="shared" si="47"/>
        <v>38.74</v>
      </c>
      <c r="EB21" s="140"/>
      <c r="EC21" s="350">
        <f t="shared" ref="EC21:EC22" si="61">DY21-EG21</f>
        <v>12.339999999999996</v>
      </c>
      <c r="ED21" s="194"/>
      <c r="EE21" s="350">
        <f t="shared" si="49"/>
        <v>12.660000000000004</v>
      </c>
      <c r="EF21" s="13"/>
      <c r="EG21" s="350">
        <v>24.6</v>
      </c>
      <c r="EH21" s="194"/>
      <c r="EI21" s="140">
        <v>26.08</v>
      </c>
      <c r="EJ21" s="140"/>
      <c r="EK21" s="350">
        <f t="shared" si="50"/>
        <v>11.350000000000001</v>
      </c>
      <c r="EL21" s="194"/>
      <c r="EM21" s="350">
        <f t="shared" si="50"/>
        <v>12.54</v>
      </c>
      <c r="EN21" s="140"/>
      <c r="EO21" s="350">
        <v>13.25</v>
      </c>
      <c r="EP21" s="194"/>
      <c r="EQ21" s="140">
        <v>13.54</v>
      </c>
      <c r="ER21" s="140"/>
      <c r="ES21" s="359">
        <v>51.73</v>
      </c>
      <c r="ET21" s="142"/>
      <c r="EU21" s="140">
        <v>51.97</v>
      </c>
      <c r="EV21" s="357"/>
      <c r="EW21" s="359">
        <v>12.99</v>
      </c>
      <c r="EX21" s="142"/>
      <c r="EY21" s="140">
        <v>13.13</v>
      </c>
      <c r="EZ21" s="140"/>
      <c r="FA21" s="140">
        <v>38.74</v>
      </c>
      <c r="FB21" s="142"/>
      <c r="FC21" s="140">
        <v>38.840000000000003</v>
      </c>
      <c r="FD21" s="357"/>
      <c r="FE21" s="140">
        <v>12.66</v>
      </c>
      <c r="FF21" s="142"/>
      <c r="FG21" s="140">
        <v>12.83</v>
      </c>
      <c r="FH21" s="140"/>
      <c r="FI21" s="357"/>
      <c r="FJ21" s="140">
        <v>26.08</v>
      </c>
      <c r="FK21" s="142"/>
      <c r="FL21" s="140">
        <v>26.01</v>
      </c>
      <c r="FM21" s="357"/>
      <c r="FN21" s="140">
        <v>12.54</v>
      </c>
      <c r="FO21" s="142"/>
      <c r="FP21" s="140">
        <v>12.590000000000002</v>
      </c>
      <c r="FQ21" s="357"/>
      <c r="FR21" s="140">
        <v>13.54</v>
      </c>
      <c r="FS21" s="142"/>
      <c r="FT21" s="140">
        <v>13.42</v>
      </c>
      <c r="FU21" s="140"/>
      <c r="FV21" s="140">
        <v>51.97</v>
      </c>
      <c r="FX21" s="142">
        <v>51.37</v>
      </c>
      <c r="FY21" s="357"/>
      <c r="FZ21" s="140">
        <v>13.129125999999999</v>
      </c>
      <c r="GA21" s="142"/>
      <c r="GB21" s="140">
        <v>13.062401999999999</v>
      </c>
      <c r="GC21" s="357"/>
      <c r="GD21" s="140">
        <v>38.840873999999999</v>
      </c>
      <c r="GF21" s="142">
        <v>38.307597999999999</v>
      </c>
      <c r="GG21" s="357"/>
      <c r="GH21" s="140">
        <v>12.83</v>
      </c>
      <c r="GI21" s="142"/>
      <c r="GJ21" s="140">
        <v>12.61</v>
      </c>
      <c r="GK21" s="13"/>
      <c r="GL21" s="205">
        <v>26.01</v>
      </c>
      <c r="GN21" s="194">
        <v>25.7</v>
      </c>
      <c r="GO21" s="189"/>
      <c r="GP21" s="205">
        <v>12.590000000000002</v>
      </c>
      <c r="GQ21" s="194"/>
      <c r="GR21" s="205">
        <v>12.4</v>
      </c>
      <c r="GS21" s="189"/>
      <c r="GT21" s="208">
        <v>13.42</v>
      </c>
      <c r="GU21" s="194"/>
      <c r="GV21" s="205">
        <v>13.31</v>
      </c>
      <c r="GW21" s="140"/>
      <c r="GX21" s="208">
        <v>51.37</v>
      </c>
      <c r="GY21" s="194"/>
      <c r="GZ21" s="205">
        <v>49.68</v>
      </c>
      <c r="HA21" s="189"/>
      <c r="HB21" s="208">
        <v>13.059999999999995</v>
      </c>
      <c r="HC21" s="194"/>
      <c r="HD21" s="205">
        <v>12.86</v>
      </c>
      <c r="HE21" s="189"/>
      <c r="HF21" s="208">
        <f>HJ21-HN21</f>
        <v>12.610000000000003</v>
      </c>
      <c r="HG21" s="194"/>
      <c r="HH21" s="205">
        <f>HL21-HP21</f>
        <v>12.05</v>
      </c>
      <c r="HI21" s="189"/>
      <c r="HJ21" s="208">
        <v>38.31</v>
      </c>
      <c r="HK21" s="194"/>
      <c r="HL21" s="194">
        <v>36.82</v>
      </c>
      <c r="HM21" s="189"/>
      <c r="HN21" s="208">
        <v>25.7</v>
      </c>
      <c r="HO21" s="194"/>
      <c r="HP21" s="194">
        <f>IS21</f>
        <v>24.77</v>
      </c>
      <c r="HQ21" s="189"/>
      <c r="HR21" s="208">
        <v>12.4</v>
      </c>
      <c r="HS21" s="194"/>
      <c r="HT21" s="205">
        <v>12.04</v>
      </c>
      <c r="HU21" s="189"/>
      <c r="HV21" s="208">
        <v>13.31</v>
      </c>
      <c r="HW21" s="194"/>
      <c r="HX21" s="194">
        <v>12.73</v>
      </c>
      <c r="HY21" s="189"/>
      <c r="HZ21" s="208">
        <v>49.68</v>
      </c>
      <c r="IA21" s="194"/>
      <c r="IB21" s="194">
        <v>49.2</v>
      </c>
      <c r="IC21" s="189"/>
      <c r="ID21" s="189"/>
      <c r="IE21" s="208">
        <v>12.86</v>
      </c>
      <c r="IF21" s="194"/>
      <c r="IG21" s="194">
        <v>12.510000000000005</v>
      </c>
      <c r="IH21" s="208"/>
      <c r="II21" s="208">
        <v>36.82</v>
      </c>
      <c r="IJ21" s="194"/>
      <c r="IK21" s="194">
        <v>36.69</v>
      </c>
      <c r="IL21" s="189"/>
      <c r="IM21" s="189"/>
      <c r="IN21" s="208">
        <v>12.05</v>
      </c>
      <c r="IO21" s="194"/>
      <c r="IP21" s="194">
        <v>12.099999999999998</v>
      </c>
      <c r="IQ21" s="189"/>
      <c r="IR21" s="189"/>
      <c r="IS21" s="208">
        <v>24.77</v>
      </c>
      <c r="IT21" s="194"/>
      <c r="IU21" s="205">
        <v>24.59</v>
      </c>
      <c r="IV21" s="189"/>
      <c r="IW21" s="189"/>
      <c r="IX21" s="208">
        <v>12.04</v>
      </c>
      <c r="IY21" s="194"/>
      <c r="IZ21" s="205">
        <v>12.09</v>
      </c>
      <c r="JA21" s="189"/>
      <c r="JB21" s="208">
        <v>12.73</v>
      </c>
      <c r="JC21" s="194"/>
      <c r="JD21" s="205">
        <v>12.5</v>
      </c>
      <c r="JE21" s="189"/>
      <c r="JF21" s="205">
        <v>49.2</v>
      </c>
      <c r="JG21" s="189"/>
      <c r="JH21" s="205">
        <v>47.9</v>
      </c>
      <c r="JI21" s="189"/>
      <c r="JJ21" s="205">
        <v>12.51</v>
      </c>
      <c r="JK21" s="189"/>
      <c r="JL21" s="205">
        <v>12.16</v>
      </c>
      <c r="JM21" s="189"/>
      <c r="JN21" s="205">
        <v>36.69</v>
      </c>
      <c r="JO21" s="194"/>
      <c r="JP21" s="205">
        <v>35.74</v>
      </c>
      <c r="JQ21" s="194"/>
      <c r="JR21" s="205">
        <v>12.1</v>
      </c>
      <c r="JS21" s="194"/>
      <c r="JT21" s="205">
        <v>11.86</v>
      </c>
      <c r="JU21" s="194"/>
      <c r="JV21" s="205">
        <v>24.59</v>
      </c>
      <c r="JW21" s="194"/>
      <c r="JX21" s="205">
        <v>23.88</v>
      </c>
      <c r="JY21" s="194"/>
      <c r="JZ21" s="205">
        <v>12.09</v>
      </c>
      <c r="KA21" s="194"/>
      <c r="KB21" s="205">
        <v>11.63</v>
      </c>
      <c r="KC21" s="194"/>
      <c r="KD21" s="205">
        <v>12.5</v>
      </c>
      <c r="KE21" s="194"/>
      <c r="KF21" s="205">
        <v>12.25</v>
      </c>
      <c r="KG21" s="194"/>
      <c r="KH21" s="194">
        <v>47.9</v>
      </c>
      <c r="KI21" s="194"/>
      <c r="KJ21" s="194">
        <v>47.9</v>
      </c>
      <c r="KK21" s="194"/>
      <c r="KL21" s="194">
        <v>12.16</v>
      </c>
      <c r="KM21" s="194"/>
      <c r="KN21" s="194">
        <v>12.18</v>
      </c>
      <c r="KO21" s="194"/>
      <c r="KP21" s="194">
        <v>35.74</v>
      </c>
      <c r="KQ21" s="157"/>
      <c r="KR21" s="194">
        <v>35.72</v>
      </c>
      <c r="KS21" s="157"/>
      <c r="KT21" s="194">
        <v>11.86</v>
      </c>
      <c r="KU21" s="157"/>
      <c r="KV21" s="194">
        <v>11.74</v>
      </c>
      <c r="KW21" s="157"/>
      <c r="KX21" s="194">
        <v>23.88</v>
      </c>
      <c r="KY21" s="157"/>
      <c r="KZ21" s="194">
        <v>23.98</v>
      </c>
      <c r="LA21" s="157"/>
      <c r="LB21" s="194">
        <v>11.63</v>
      </c>
      <c r="LC21" s="157"/>
      <c r="LD21" s="194">
        <v>11.56</v>
      </c>
      <c r="LE21" s="157"/>
      <c r="LF21" s="194">
        <v>12.25</v>
      </c>
      <c r="LG21" s="157"/>
      <c r="LH21" s="194">
        <v>12.42</v>
      </c>
      <c r="LI21" s="157"/>
      <c r="LJ21" s="157"/>
      <c r="LK21" s="157"/>
      <c r="LL21" s="157"/>
      <c r="LM21" s="157"/>
      <c r="LN21" s="157"/>
      <c r="LO21" s="157"/>
      <c r="LP21" s="157"/>
      <c r="LQ21" s="157"/>
      <c r="LR21" s="157"/>
      <c r="LS21" s="157"/>
      <c r="LT21" s="157"/>
      <c r="LU21" s="157"/>
      <c r="LV21" s="157"/>
      <c r="LW21" s="157"/>
      <c r="LX21" s="157"/>
      <c r="LY21" s="157"/>
      <c r="LZ21" s="157"/>
      <c r="MA21" s="157"/>
      <c r="MB21" s="157"/>
      <c r="MC21" s="157"/>
      <c r="MD21" s="157"/>
      <c r="ME21" s="157"/>
      <c r="MF21" s="157"/>
      <c r="MG21" s="157"/>
      <c r="MH21" s="157"/>
      <c r="MI21" s="157"/>
      <c r="MJ21" s="157"/>
      <c r="MK21" s="157"/>
      <c r="ML21" s="157"/>
      <c r="MM21" s="157"/>
      <c r="MN21" s="157"/>
      <c r="MO21" s="157"/>
      <c r="MP21" s="157"/>
      <c r="MQ21" s="157"/>
      <c r="MR21" s="157"/>
      <c r="MS21" s="157"/>
      <c r="MT21" s="157"/>
      <c r="MU21" s="157"/>
      <c r="MV21" s="157"/>
      <c r="MW21" s="157"/>
      <c r="MX21" s="157"/>
      <c r="MY21" s="157"/>
      <c r="MZ21" s="157"/>
      <c r="NA21" s="157"/>
      <c r="NB21" s="157"/>
      <c r="NC21" s="157"/>
      <c r="ND21" s="157"/>
      <c r="NE21" s="157"/>
      <c r="NF21" s="157"/>
      <c r="NG21" s="157"/>
      <c r="NH21" s="157"/>
      <c r="NI21" s="157"/>
      <c r="NJ21" s="157"/>
      <c r="NK21" s="157"/>
      <c r="NL21" s="157"/>
      <c r="NM21" s="157"/>
      <c r="NN21" s="157"/>
      <c r="NO21" s="157"/>
      <c r="NP21" s="157"/>
      <c r="NQ21" s="157"/>
      <c r="NR21" s="157"/>
      <c r="NS21" s="157"/>
      <c r="NT21" s="157"/>
      <c r="NU21" s="157"/>
      <c r="NV21" s="157"/>
      <c r="NW21" s="157"/>
      <c r="NX21" s="157"/>
      <c r="NY21" s="157"/>
      <c r="NZ21" s="157"/>
      <c r="OA21" s="157"/>
      <c r="OB21" s="157"/>
      <c r="OC21" s="157"/>
      <c r="OD21" s="157"/>
      <c r="OE21" s="157"/>
      <c r="OF21" s="157"/>
      <c r="OG21" s="157"/>
      <c r="OH21" s="157"/>
    </row>
    <row r="22" spans="1:398">
      <c r="A22" s="16" t="s">
        <v>41</v>
      </c>
      <c r="B22" s="17" t="s">
        <v>3</v>
      </c>
      <c r="D22" s="351">
        <f>'Dane operacyjne_Operating data'!I13</f>
        <v>6.9989999999999997</v>
      </c>
      <c r="F22" s="139">
        <f t="shared" si="51"/>
        <v>7.4</v>
      </c>
      <c r="G22" s="142"/>
      <c r="I22" s="351">
        <f>'Dane operacyjne_Operating data'!$J$13</f>
        <v>26.706000000000003</v>
      </c>
      <c r="K22" s="139">
        <f>'Dane operacyjne_Operating data'!$O$13</f>
        <v>30.745000000000001</v>
      </c>
      <c r="L22" s="142"/>
      <c r="M22" s="351">
        <f>'Dane operacyjne_Operating data'!$K$13</f>
        <v>7.0339999999999998</v>
      </c>
      <c r="O22" s="139">
        <f>'Dane operacyjne_Operating data'!$P$13</f>
        <v>8.2900000000000009</v>
      </c>
      <c r="P22" s="142"/>
      <c r="Q22" s="351">
        <v>19.670000000000002</v>
      </c>
      <c r="S22" s="139">
        <f>AS22</f>
        <v>22.46</v>
      </c>
      <c r="T22" s="142"/>
      <c r="U22" s="351">
        <f t="shared" si="53"/>
        <v>6.1400000000000023</v>
      </c>
      <c r="W22" s="139">
        <f t="shared" si="54"/>
        <v>7.05</v>
      </c>
      <c r="X22" s="142"/>
      <c r="Y22" s="351">
        <v>13.53</v>
      </c>
      <c r="AA22" s="139">
        <f>15.39+0.01</f>
        <v>15.4</v>
      </c>
      <c r="AB22" s="142"/>
      <c r="AC22" s="351">
        <f t="shared" ref="AC22" si="62">Y22-AG22</f>
        <v>6.129999999999999</v>
      </c>
      <c r="AE22" s="351">
        <f t="shared" si="55"/>
        <v>7.0400000000000009</v>
      </c>
      <c r="AG22" s="351">
        <v>7.4</v>
      </c>
      <c r="AI22" s="139">
        <f>BI22</f>
        <v>8.36</v>
      </c>
      <c r="AK22" s="351">
        <v>30.75</v>
      </c>
      <c r="AM22" s="139">
        <f t="shared" si="25"/>
        <v>31.14</v>
      </c>
      <c r="AN22" s="142"/>
      <c r="AO22" s="351">
        <v>7.05</v>
      </c>
      <c r="AQ22" s="139">
        <f t="shared" si="26"/>
        <v>8.0600000000000023</v>
      </c>
      <c r="AR22" s="142"/>
      <c r="AS22" s="351">
        <v>22.46</v>
      </c>
      <c r="AU22" s="139">
        <f t="shared" si="27"/>
        <v>23.08</v>
      </c>
      <c r="AV22" s="142"/>
      <c r="AW22" s="351">
        <v>7.05</v>
      </c>
      <c r="AY22" s="139">
        <f t="shared" si="28"/>
        <v>7.1199999999999974</v>
      </c>
      <c r="AZ22" s="142"/>
      <c r="BA22" s="351">
        <v>15.4</v>
      </c>
      <c r="BC22" s="139">
        <f t="shared" si="29"/>
        <v>15.96</v>
      </c>
      <c r="BD22" s="142"/>
      <c r="BE22" s="351">
        <v>7.04</v>
      </c>
      <c r="BG22" s="139">
        <f t="shared" si="30"/>
        <v>7.5300000000000011</v>
      </c>
      <c r="BH22" s="142"/>
      <c r="BI22" s="351">
        <v>8.36</v>
      </c>
      <c r="BK22" s="139">
        <f t="shared" si="31"/>
        <v>8.43</v>
      </c>
      <c r="BL22" s="142"/>
      <c r="BM22" s="351">
        <v>31.14</v>
      </c>
      <c r="BO22" s="139">
        <f t="shared" si="32"/>
        <v>34.409999999999997</v>
      </c>
      <c r="BP22" s="142"/>
      <c r="BQ22" s="351">
        <f t="shared" ref="BQ22" si="63">BM22-BU22</f>
        <v>8.0600000000000023</v>
      </c>
      <c r="BS22" s="139">
        <f t="shared" si="33"/>
        <v>9.889999999999997</v>
      </c>
      <c r="BT22" s="142"/>
      <c r="BU22" s="351">
        <v>23.08</v>
      </c>
      <c r="BW22" s="139">
        <v>24.52</v>
      </c>
      <c r="BX22" s="142"/>
      <c r="BY22" s="351">
        <f t="shared" si="59"/>
        <v>7.1199999999999974</v>
      </c>
      <c r="CA22" s="139">
        <f t="shared" si="34"/>
        <v>7.8900000000000006</v>
      </c>
      <c r="CB22" s="142"/>
      <c r="CC22" s="351">
        <v>15.96</v>
      </c>
      <c r="CE22" s="139">
        <v>16.63</v>
      </c>
      <c r="CF22" s="142"/>
      <c r="CG22" s="351">
        <f t="shared" si="57"/>
        <v>7.5300000000000011</v>
      </c>
      <c r="CI22" s="139">
        <f t="shared" si="58"/>
        <v>7.8599999999999994</v>
      </c>
      <c r="CJ22" s="142"/>
      <c r="CK22" s="351">
        <v>8.43</v>
      </c>
      <c r="CM22" s="139">
        <f t="shared" si="35"/>
        <v>8.77</v>
      </c>
      <c r="CN22" s="142"/>
      <c r="CO22" s="351">
        <v>34.409999999999997</v>
      </c>
      <c r="CQ22" s="139">
        <f t="shared" si="36"/>
        <v>32.43</v>
      </c>
      <c r="CR22" s="142"/>
      <c r="CS22" s="351">
        <f t="shared" si="37"/>
        <v>9.889999999999997</v>
      </c>
      <c r="CU22" s="139">
        <f t="shared" si="38"/>
        <v>8.7199999999999989</v>
      </c>
      <c r="CV22" s="142"/>
      <c r="CW22" s="351">
        <v>24.52</v>
      </c>
      <c r="CY22" s="139">
        <v>23.71</v>
      </c>
      <c r="CZ22" s="142"/>
      <c r="DA22" s="351">
        <f t="shared" si="39"/>
        <v>7.8900000000000006</v>
      </c>
      <c r="DC22" s="139">
        <f t="shared" si="40"/>
        <v>7.7200000000000006</v>
      </c>
      <c r="DD22" s="142"/>
      <c r="DE22" s="351">
        <v>16.63</v>
      </c>
      <c r="DG22" s="139">
        <v>15.99</v>
      </c>
      <c r="DH22" s="142"/>
      <c r="DI22" s="351">
        <f t="shared" si="41"/>
        <v>7.8599999999999994</v>
      </c>
      <c r="DK22" s="139">
        <f t="shared" si="42"/>
        <v>7.1300000000000008</v>
      </c>
      <c r="DL22" s="142"/>
      <c r="DM22" s="351">
        <v>8.77</v>
      </c>
      <c r="DO22" s="139">
        <f t="shared" si="43"/>
        <v>8.86</v>
      </c>
      <c r="DP22" s="142"/>
      <c r="DQ22" s="351">
        <v>32.43</v>
      </c>
      <c r="DS22" s="139">
        <f t="shared" si="44"/>
        <v>33.729999999999997</v>
      </c>
      <c r="DT22" s="142"/>
      <c r="DU22" s="351">
        <f t="shared" si="60"/>
        <v>8.7199999999999989</v>
      </c>
      <c r="DW22" s="351">
        <f t="shared" si="46"/>
        <v>8.7099999999999973</v>
      </c>
      <c r="DX22" s="17"/>
      <c r="DY22" s="351">
        <v>23.71</v>
      </c>
      <c r="EA22" s="139">
        <f t="shared" si="47"/>
        <v>25.02</v>
      </c>
      <c r="EB22" s="142"/>
      <c r="EC22" s="351">
        <f t="shared" si="61"/>
        <v>7.7200000000000006</v>
      </c>
      <c r="EE22" s="351">
        <f t="shared" si="49"/>
        <v>7.9899999999999984</v>
      </c>
      <c r="EF22" s="17"/>
      <c r="EG22" s="351">
        <v>15.99</v>
      </c>
      <c r="EI22" s="139">
        <v>17.03</v>
      </c>
      <c r="EJ22" s="142"/>
      <c r="EK22" s="351">
        <f t="shared" si="50"/>
        <v>7.1300000000000008</v>
      </c>
      <c r="EM22" s="351">
        <f t="shared" si="50"/>
        <v>8.1000000000000014</v>
      </c>
      <c r="EN22" s="142"/>
      <c r="EO22" s="351">
        <v>8.86</v>
      </c>
      <c r="EQ22" s="139">
        <v>8.93</v>
      </c>
      <c r="ER22" s="142"/>
      <c r="ES22" s="356">
        <v>33.729999999999997</v>
      </c>
      <c r="EU22" s="139">
        <v>34.520000000000003</v>
      </c>
      <c r="EV22" s="357"/>
      <c r="EW22" s="356">
        <v>8.7100000000000009</v>
      </c>
      <c r="EY22" s="139">
        <v>9.15</v>
      </c>
      <c r="EZ22" s="142"/>
      <c r="FA22" s="139">
        <v>25.02</v>
      </c>
      <c r="FC22" s="139">
        <v>25.37</v>
      </c>
      <c r="FD22" s="357"/>
      <c r="FE22" s="139">
        <v>8</v>
      </c>
      <c r="FG22" s="139">
        <v>8.17</v>
      </c>
      <c r="FH22" s="142"/>
      <c r="FI22" s="357"/>
      <c r="FJ22" s="139">
        <v>17.03</v>
      </c>
      <c r="FL22" s="139">
        <v>17.2</v>
      </c>
      <c r="FM22" s="357"/>
      <c r="FN22" s="139">
        <v>8.1</v>
      </c>
      <c r="FP22" s="139">
        <v>7.93</v>
      </c>
      <c r="FQ22" s="357"/>
      <c r="FR22" s="139">
        <v>8.93</v>
      </c>
      <c r="FT22" s="139">
        <v>9.2799999999999994</v>
      </c>
      <c r="FU22" s="142"/>
      <c r="FV22" s="139">
        <v>34.520000000000003</v>
      </c>
      <c r="FX22" s="139">
        <v>34.94</v>
      </c>
      <c r="FY22" s="357"/>
      <c r="FZ22" s="139">
        <v>9.1500000000000021</v>
      </c>
      <c r="GB22" s="139">
        <v>9.379999999999999</v>
      </c>
      <c r="GC22" s="357"/>
      <c r="GD22" s="139">
        <v>25.37</v>
      </c>
      <c r="GF22" s="139">
        <v>25.56</v>
      </c>
      <c r="GG22" s="357"/>
      <c r="GH22" s="139">
        <v>8.17</v>
      </c>
      <c r="GJ22" s="139">
        <v>8.35</v>
      </c>
      <c r="GK22" s="13"/>
      <c r="GL22" s="197">
        <v>17.2</v>
      </c>
      <c r="GN22" s="197">
        <v>17.21</v>
      </c>
      <c r="GO22" s="189"/>
      <c r="GP22" s="197">
        <v>7.93</v>
      </c>
      <c r="GR22" s="197">
        <v>8.08</v>
      </c>
      <c r="GS22" s="189"/>
      <c r="GT22" s="195">
        <v>9.2799999999999994</v>
      </c>
      <c r="GV22" s="197">
        <v>9.1199999999999992</v>
      </c>
      <c r="GW22" s="142"/>
      <c r="GX22" s="195">
        <v>34.94</v>
      </c>
      <c r="GY22" s="157"/>
      <c r="GZ22" s="197">
        <v>32.04</v>
      </c>
      <c r="HA22" s="189"/>
      <c r="HB22" s="195">
        <v>9.39</v>
      </c>
      <c r="HC22" s="157"/>
      <c r="HD22" s="197">
        <v>8.8499999999999979</v>
      </c>
      <c r="HE22" s="189"/>
      <c r="HF22" s="195">
        <f>HJ22-HN22</f>
        <v>8.3499999999999979</v>
      </c>
      <c r="HG22" s="157"/>
      <c r="HH22" s="197">
        <f>HL22-HP22</f>
        <v>7.6100000000000012</v>
      </c>
      <c r="HI22" s="189"/>
      <c r="HJ22" s="195">
        <v>25.56</v>
      </c>
      <c r="HK22" s="157"/>
      <c r="HL22" s="197">
        <v>23.19</v>
      </c>
      <c r="HM22" s="189"/>
      <c r="HN22" s="195">
        <v>17.21</v>
      </c>
      <c r="HO22" s="157"/>
      <c r="HP22" s="197">
        <f>IS22</f>
        <v>15.58</v>
      </c>
      <c r="HQ22" s="189"/>
      <c r="HR22" s="195">
        <v>8.08</v>
      </c>
      <c r="HS22" s="157"/>
      <c r="HT22" s="197">
        <v>7.2100000000000009</v>
      </c>
      <c r="HU22" s="189"/>
      <c r="HV22" s="195">
        <v>9.1199999999999992</v>
      </c>
      <c r="HW22" s="157"/>
      <c r="HX22" s="197">
        <v>8.3699999999999992</v>
      </c>
      <c r="HY22" s="189"/>
      <c r="HZ22" s="195">
        <v>32.04</v>
      </c>
      <c r="IA22" s="157"/>
      <c r="IB22" s="197">
        <v>35.94</v>
      </c>
      <c r="IC22" s="189"/>
      <c r="ID22" s="189"/>
      <c r="IE22" s="195">
        <v>8.8499999999999979</v>
      </c>
      <c r="IF22" s="157"/>
      <c r="IG22" s="197">
        <v>9.4799999999999969</v>
      </c>
      <c r="IH22" s="199"/>
      <c r="II22" s="195">
        <v>23.19</v>
      </c>
      <c r="IJ22" s="157"/>
      <c r="IK22" s="197">
        <v>26.46</v>
      </c>
      <c r="IL22" s="189"/>
      <c r="IM22" s="189"/>
      <c r="IN22" s="195">
        <v>7.6100000000000012</v>
      </c>
      <c r="IO22" s="157"/>
      <c r="IP22" s="197">
        <v>8.44</v>
      </c>
      <c r="IQ22" s="189"/>
      <c r="IR22" s="189"/>
      <c r="IS22" s="195">
        <v>15.58</v>
      </c>
      <c r="IT22" s="157"/>
      <c r="IU22" s="197">
        <v>18.03</v>
      </c>
      <c r="IV22" s="189"/>
      <c r="IW22" s="189"/>
      <c r="IX22" s="195">
        <v>7.2100000000000009</v>
      </c>
      <c r="IY22" s="157"/>
      <c r="IZ22" s="197">
        <v>8.5820000000000007</v>
      </c>
      <c r="JA22" s="189"/>
      <c r="JB22" s="195">
        <v>8.3699999999999992</v>
      </c>
      <c r="JC22" s="157"/>
      <c r="JD22" s="197">
        <v>9.0500000000000007</v>
      </c>
      <c r="JE22" s="189"/>
      <c r="JF22" s="197">
        <v>35.94</v>
      </c>
      <c r="JG22" s="189"/>
      <c r="JH22" s="197">
        <v>36.43</v>
      </c>
      <c r="JI22" s="189"/>
      <c r="JJ22" s="197">
        <v>9.4700000000000006</v>
      </c>
      <c r="JK22" s="189"/>
      <c r="JL22" s="197">
        <v>9.66</v>
      </c>
      <c r="JM22" s="189"/>
      <c r="JN22" s="197">
        <v>26.46</v>
      </c>
      <c r="JO22" s="157"/>
      <c r="JP22" s="197">
        <v>26.78</v>
      </c>
      <c r="JQ22" s="157"/>
      <c r="JR22" s="197">
        <v>8.44</v>
      </c>
      <c r="JS22" s="157"/>
      <c r="JT22" s="197">
        <v>8.58</v>
      </c>
      <c r="JU22" s="157"/>
      <c r="JV22" s="197">
        <v>18.03</v>
      </c>
      <c r="JW22" s="157"/>
      <c r="JX22" s="197">
        <v>18.2</v>
      </c>
      <c r="JY22" s="157"/>
      <c r="JZ22" s="197">
        <v>8.58</v>
      </c>
      <c r="KA22" s="157"/>
      <c r="KB22" s="197">
        <v>8.5399999999999991</v>
      </c>
      <c r="KC22" s="157"/>
      <c r="KD22" s="197">
        <v>9.0500000000000007</v>
      </c>
      <c r="KE22" s="157"/>
      <c r="KF22" s="197">
        <v>10.17</v>
      </c>
      <c r="KG22" s="157"/>
      <c r="KH22" s="197">
        <v>38.590000000000003</v>
      </c>
      <c r="KI22" s="157"/>
      <c r="KJ22" s="197">
        <v>41.3</v>
      </c>
      <c r="KK22" s="157"/>
      <c r="KL22" s="197">
        <v>10.210000000000001</v>
      </c>
      <c r="KM22" s="157"/>
      <c r="KN22" s="197">
        <v>10.59</v>
      </c>
      <c r="KO22" s="194"/>
      <c r="KP22" s="197">
        <v>28.39</v>
      </c>
      <c r="KQ22" s="157"/>
      <c r="KR22" s="197">
        <v>30.71</v>
      </c>
      <c r="KS22" s="157"/>
      <c r="KT22" s="197">
        <v>9.1300000000000008</v>
      </c>
      <c r="KU22" s="157"/>
      <c r="KV22" s="197">
        <v>9.85</v>
      </c>
      <c r="KW22" s="157"/>
      <c r="KX22" s="197">
        <v>19.25</v>
      </c>
      <c r="KY22" s="157"/>
      <c r="KZ22" s="197">
        <v>20.86</v>
      </c>
      <c r="LA22" s="157"/>
      <c r="LB22" s="197">
        <v>9.08</v>
      </c>
      <c r="LC22" s="157"/>
      <c r="LD22" s="197">
        <v>9.92</v>
      </c>
      <c r="LE22" s="157"/>
      <c r="LF22" s="197">
        <v>10.17</v>
      </c>
      <c r="LG22" s="157"/>
      <c r="LH22" s="197">
        <v>10.94</v>
      </c>
      <c r="LI22" s="157"/>
      <c r="LJ22" s="157"/>
      <c r="LK22" s="157"/>
      <c r="LL22" s="157"/>
      <c r="LM22" s="157"/>
      <c r="LN22" s="157"/>
      <c r="LO22" s="157"/>
      <c r="LP22" s="157"/>
      <c r="LQ22" s="157"/>
      <c r="LR22" s="157"/>
      <c r="LS22" s="157"/>
      <c r="LT22" s="157"/>
      <c r="LU22" s="157"/>
      <c r="LV22" s="157"/>
      <c r="LW22" s="157"/>
      <c r="LX22" s="157"/>
      <c r="LY22" s="157"/>
      <c r="LZ22" s="157"/>
      <c r="MA22" s="157"/>
      <c r="MB22" s="157"/>
      <c r="MC22" s="157"/>
      <c r="MD22" s="157"/>
      <c r="ME22" s="157"/>
      <c r="MF22" s="157"/>
      <c r="MG22" s="157"/>
      <c r="MH22" s="157"/>
      <c r="MI22" s="157"/>
      <c r="MJ22" s="157"/>
      <c r="MK22" s="157"/>
      <c r="ML22" s="157"/>
      <c r="MM22" s="157"/>
      <c r="MN22" s="157"/>
      <c r="MO22" s="157"/>
      <c r="MP22" s="157"/>
      <c r="MQ22" s="157"/>
      <c r="MR22" s="157"/>
      <c r="MS22" s="157"/>
      <c r="MT22" s="157"/>
      <c r="MU22" s="157"/>
      <c r="MV22" s="157"/>
      <c r="MW22" s="157"/>
      <c r="MX22" s="157"/>
      <c r="MY22" s="157"/>
      <c r="MZ22" s="157"/>
      <c r="NA22" s="157"/>
      <c r="NB22" s="157"/>
      <c r="NC22" s="157"/>
      <c r="ND22" s="157"/>
      <c r="NE22" s="157"/>
      <c r="NF22" s="157"/>
      <c r="NG22" s="157"/>
      <c r="NH22" s="157"/>
      <c r="NI22" s="157"/>
      <c r="NJ22" s="157"/>
      <c r="NK22" s="157"/>
      <c r="NL22" s="157"/>
      <c r="NM22" s="157"/>
      <c r="NN22" s="157"/>
      <c r="NO22" s="157"/>
      <c r="NP22" s="157"/>
      <c r="NQ22" s="157"/>
      <c r="NR22" s="157"/>
      <c r="NS22" s="157"/>
      <c r="NT22" s="157"/>
      <c r="NU22" s="157"/>
      <c r="NV22" s="157"/>
      <c r="NW22" s="157"/>
      <c r="NX22" s="157"/>
      <c r="NY22" s="157"/>
      <c r="NZ22" s="157"/>
      <c r="OA22" s="157"/>
      <c r="OB22" s="157"/>
      <c r="OC22" s="157"/>
      <c r="OD22" s="157"/>
      <c r="OE22" s="157"/>
      <c r="OF22" s="157"/>
      <c r="OG22" s="157"/>
      <c r="OH22" s="157"/>
    </row>
    <row r="23" spans="1:398"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  <c r="LB23" s="157"/>
      <c r="LC23" s="157"/>
      <c r="LD23" s="157"/>
      <c r="LE23" s="157"/>
      <c r="LF23" s="157"/>
      <c r="LG23" s="157"/>
      <c r="LH23" s="157"/>
      <c r="LI23" s="157"/>
      <c r="LJ23" s="157"/>
      <c r="LK23" s="157"/>
      <c r="LL23" s="157"/>
      <c r="LM23" s="157"/>
      <c r="LN23" s="157"/>
      <c r="LO23" s="157"/>
      <c r="LP23" s="157"/>
      <c r="LQ23" s="157"/>
      <c r="LR23" s="157"/>
      <c r="LS23" s="157"/>
      <c r="LT23" s="157"/>
      <c r="LU23" s="157"/>
      <c r="LV23" s="157"/>
      <c r="LW23" s="157"/>
      <c r="LX23" s="157"/>
      <c r="LY23" s="157"/>
      <c r="LZ23" s="157"/>
      <c r="MA23" s="157"/>
      <c r="MB23" s="157"/>
      <c r="MC23" s="157"/>
      <c r="MD23" s="157"/>
      <c r="ME23" s="157"/>
      <c r="MF23" s="157"/>
      <c r="MG23" s="157"/>
      <c r="MH23" s="157"/>
      <c r="MI23" s="157"/>
      <c r="MJ23" s="157"/>
      <c r="MK23" s="157"/>
      <c r="ML23" s="157"/>
      <c r="MM23" s="157"/>
      <c r="MN23" s="157"/>
      <c r="MO23" s="157"/>
      <c r="MP23" s="157"/>
      <c r="MQ23" s="157"/>
      <c r="MR23" s="157"/>
      <c r="MS23" s="157"/>
      <c r="MT23" s="157"/>
      <c r="MU23" s="157"/>
      <c r="MV23" s="157"/>
      <c r="MW23" s="157"/>
      <c r="MX23" s="157"/>
      <c r="MY23" s="157"/>
      <c r="MZ23" s="157"/>
      <c r="NA23" s="157"/>
      <c r="NB23" s="157"/>
      <c r="NC23" s="157"/>
      <c r="ND23" s="157"/>
      <c r="NE23" s="157"/>
      <c r="NF23" s="157"/>
      <c r="NG23" s="157"/>
      <c r="NH23" s="157"/>
      <c r="NI23" s="157"/>
      <c r="NJ23" s="157"/>
      <c r="NK23" s="157"/>
      <c r="NL23" s="157"/>
      <c r="NM23" s="157"/>
      <c r="NN23" s="157"/>
      <c r="NO23" s="157"/>
      <c r="NP23" s="157"/>
      <c r="NQ23" s="157"/>
      <c r="NR23" s="157"/>
      <c r="NS23" s="157"/>
      <c r="NT23" s="157"/>
      <c r="NU23" s="157"/>
      <c r="NV23" s="157"/>
      <c r="NW23" s="157"/>
      <c r="NX23" s="157"/>
      <c r="NY23" s="157"/>
      <c r="NZ23" s="157"/>
      <c r="OA23" s="157"/>
      <c r="OB23" s="157"/>
      <c r="OC23" s="157"/>
      <c r="OD23" s="157"/>
      <c r="OE23" s="157"/>
      <c r="OF23" s="157"/>
      <c r="OG23" s="157"/>
      <c r="OH23" s="157"/>
    </row>
    <row r="24" spans="1:398"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57"/>
      <c r="MG24" s="157"/>
      <c r="MH24" s="157"/>
      <c r="MI24" s="157"/>
      <c r="MJ24" s="157"/>
      <c r="MK24" s="157"/>
      <c r="ML24" s="157"/>
      <c r="MM24" s="157"/>
      <c r="MN24" s="157"/>
      <c r="MO24" s="157"/>
      <c r="MP24" s="157"/>
      <c r="MQ24" s="157"/>
      <c r="MR24" s="157"/>
      <c r="MS24" s="157"/>
      <c r="MT24" s="157"/>
      <c r="MU24" s="157"/>
      <c r="MV24" s="157"/>
      <c r="MW24" s="157"/>
      <c r="MX24" s="157"/>
      <c r="MY24" s="157"/>
      <c r="MZ24" s="157"/>
      <c r="NA24" s="157"/>
      <c r="NB24" s="157"/>
      <c r="NC24" s="157"/>
      <c r="ND24" s="157"/>
      <c r="NE24" s="157"/>
      <c r="NF24" s="157"/>
      <c r="NG24" s="157"/>
      <c r="NH24" s="157"/>
      <c r="NI24" s="157"/>
      <c r="NJ24" s="157"/>
      <c r="NK24" s="157"/>
      <c r="NL24" s="157"/>
      <c r="NM24" s="157"/>
      <c r="NN24" s="157"/>
      <c r="NO24" s="157"/>
      <c r="NP24" s="157"/>
      <c r="NQ24" s="157"/>
      <c r="NR24" s="157"/>
      <c r="NS24" s="157"/>
      <c r="NT24" s="157"/>
      <c r="NU24" s="157"/>
      <c r="NV24" s="157"/>
      <c r="NW24" s="157"/>
      <c r="NX24" s="157"/>
      <c r="NY24" s="157"/>
      <c r="NZ24" s="157"/>
      <c r="OA24" s="157"/>
      <c r="OB24" s="157"/>
      <c r="OC24" s="157"/>
      <c r="OD24" s="157"/>
      <c r="OE24" s="157"/>
      <c r="OF24" s="157"/>
      <c r="OG24" s="157"/>
      <c r="OH24" s="157"/>
    </row>
    <row r="25" spans="1:398">
      <c r="V25" s="339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  <c r="MJ25" s="157"/>
      <c r="MK25" s="157"/>
      <c r="ML25" s="157"/>
      <c r="MM25" s="157"/>
      <c r="MN25" s="157"/>
      <c r="MO25" s="157"/>
      <c r="MP25" s="157"/>
      <c r="MQ25" s="157"/>
      <c r="MR25" s="157"/>
      <c r="MS25" s="157"/>
      <c r="MT25" s="157"/>
      <c r="MU25" s="157"/>
      <c r="MV25" s="157"/>
      <c r="MW25" s="157"/>
      <c r="MX25" s="157"/>
      <c r="MY25" s="157"/>
      <c r="MZ25" s="157"/>
      <c r="NA25" s="157"/>
      <c r="NB25" s="157"/>
      <c r="NC25" s="157"/>
      <c r="ND25" s="157"/>
      <c r="NE25" s="157"/>
      <c r="NF25" s="157"/>
      <c r="NG25" s="157"/>
      <c r="NH25" s="157"/>
      <c r="NI25" s="157"/>
      <c r="NJ25" s="157"/>
      <c r="NK25" s="157"/>
      <c r="NL25" s="157"/>
      <c r="NM25" s="157"/>
      <c r="NN25" s="157"/>
      <c r="NO25" s="157"/>
      <c r="NP25" s="157"/>
      <c r="NQ25" s="157"/>
      <c r="NR25" s="157"/>
      <c r="NS25" s="157"/>
      <c r="NT25" s="157"/>
      <c r="NU25" s="157"/>
      <c r="NV25" s="157"/>
      <c r="NW25" s="157"/>
      <c r="NX25" s="157"/>
      <c r="NY25" s="157"/>
      <c r="NZ25" s="157"/>
      <c r="OA25" s="157"/>
      <c r="OB25" s="157"/>
      <c r="OC25" s="157"/>
      <c r="OD25" s="157"/>
      <c r="OE25" s="157"/>
      <c r="OF25" s="157"/>
      <c r="OG25" s="157"/>
      <c r="OH25" s="157"/>
    </row>
    <row r="26" spans="1:398"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  <c r="ML26" s="157"/>
      <c r="MM26" s="157"/>
      <c r="MN26" s="157"/>
      <c r="MO26" s="157"/>
      <c r="MP26" s="157"/>
      <c r="MQ26" s="157"/>
      <c r="MR26" s="157"/>
      <c r="MS26" s="157"/>
      <c r="MT26" s="157"/>
      <c r="MU26" s="157"/>
      <c r="MV26" s="157"/>
      <c r="MW26" s="157"/>
      <c r="MX26" s="157"/>
      <c r="MY26" s="157"/>
      <c r="MZ26" s="157"/>
      <c r="NA26" s="157"/>
      <c r="NB26" s="157"/>
      <c r="NC26" s="157"/>
      <c r="ND26" s="157"/>
      <c r="NE26" s="157"/>
      <c r="NF26" s="157"/>
      <c r="NG26" s="157"/>
      <c r="NH26" s="157"/>
      <c r="NI26" s="157"/>
      <c r="NJ26" s="157"/>
      <c r="NK26" s="157"/>
      <c r="NL26" s="157"/>
      <c r="NM26" s="157"/>
      <c r="NN26" s="157"/>
      <c r="NO26" s="157"/>
      <c r="NP26" s="157"/>
      <c r="NQ26" s="157"/>
      <c r="NR26" s="157"/>
      <c r="NS26" s="157"/>
      <c r="NT26" s="157"/>
      <c r="NU26" s="157"/>
      <c r="NV26" s="157"/>
      <c r="NW26" s="157"/>
      <c r="NX26" s="157"/>
      <c r="NY26" s="157"/>
      <c r="NZ26" s="157"/>
      <c r="OA26" s="157"/>
      <c r="OB26" s="157"/>
      <c r="OC26" s="157"/>
      <c r="OD26" s="157"/>
      <c r="OE26" s="157"/>
      <c r="OF26" s="157"/>
      <c r="OG26" s="157"/>
      <c r="OH26" s="157"/>
    </row>
    <row r="27" spans="1:398"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  <c r="ML27" s="157"/>
      <c r="MM27" s="157"/>
      <c r="MN27" s="157"/>
      <c r="MO27" s="157"/>
      <c r="MP27" s="157"/>
      <c r="MQ27" s="157"/>
      <c r="MR27" s="157"/>
      <c r="MS27" s="157"/>
      <c r="MT27" s="157"/>
      <c r="MU27" s="157"/>
      <c r="MV27" s="157"/>
      <c r="MW27" s="157"/>
      <c r="MX27" s="157"/>
      <c r="MY27" s="157"/>
      <c r="MZ27" s="157"/>
      <c r="NA27" s="157"/>
      <c r="NB27" s="157"/>
      <c r="NC27" s="157"/>
      <c r="ND27" s="157"/>
      <c r="NE27" s="157"/>
      <c r="NF27" s="157"/>
      <c r="NG27" s="157"/>
      <c r="NH27" s="157"/>
      <c r="NI27" s="157"/>
      <c r="NJ27" s="157"/>
      <c r="NK27" s="157"/>
      <c r="NL27" s="157"/>
      <c r="NM27" s="157"/>
      <c r="NN27" s="157"/>
      <c r="NO27" s="157"/>
      <c r="NP27" s="157"/>
      <c r="NQ27" s="157"/>
      <c r="NR27" s="157"/>
      <c r="NS27" s="157"/>
      <c r="NT27" s="157"/>
      <c r="NU27" s="157"/>
      <c r="NV27" s="157"/>
      <c r="NW27" s="157"/>
      <c r="NX27" s="157"/>
      <c r="NY27" s="157"/>
      <c r="NZ27" s="157"/>
      <c r="OA27" s="157"/>
      <c r="OB27" s="157"/>
      <c r="OC27" s="157"/>
      <c r="OD27" s="157"/>
      <c r="OE27" s="157"/>
      <c r="OF27" s="157"/>
      <c r="OG27" s="157"/>
      <c r="OH27" s="157"/>
    </row>
    <row r="28" spans="1:398"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  <c r="MT28" s="157"/>
      <c r="MU28" s="157"/>
      <c r="MV28" s="157"/>
      <c r="MW28" s="157"/>
      <c r="MX28" s="157"/>
      <c r="MY28" s="157"/>
      <c r="MZ28" s="157"/>
      <c r="NA28" s="157"/>
      <c r="NB28" s="157"/>
      <c r="NC28" s="157"/>
      <c r="ND28" s="157"/>
      <c r="NE28" s="157"/>
      <c r="NF28" s="157"/>
      <c r="NG28" s="157"/>
      <c r="NH28" s="157"/>
      <c r="NI28" s="157"/>
      <c r="NJ28" s="157"/>
      <c r="NK28" s="157"/>
      <c r="NL28" s="157"/>
      <c r="NM28" s="157"/>
      <c r="NN28" s="157"/>
      <c r="NO28" s="157"/>
      <c r="NP28" s="157"/>
      <c r="NQ28" s="157"/>
      <c r="NR28" s="157"/>
      <c r="NS28" s="157"/>
      <c r="NT28" s="157"/>
      <c r="NU28" s="157"/>
      <c r="NV28" s="157"/>
      <c r="NW28" s="157"/>
      <c r="NX28" s="157"/>
      <c r="NY28" s="157"/>
      <c r="NZ28" s="157"/>
      <c r="OA28" s="157"/>
      <c r="OB28" s="157"/>
      <c r="OC28" s="157"/>
      <c r="OD28" s="157"/>
      <c r="OE28" s="157"/>
      <c r="OF28" s="157"/>
      <c r="OG28" s="157"/>
      <c r="OH28" s="157"/>
    </row>
    <row r="29" spans="1:398"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  <c r="MT29" s="157"/>
      <c r="MU29" s="157"/>
      <c r="MV29" s="157"/>
      <c r="MW29" s="157"/>
      <c r="MX29" s="157"/>
      <c r="MY29" s="157"/>
      <c r="MZ29" s="157"/>
      <c r="NA29" s="157"/>
      <c r="NB29" s="157"/>
      <c r="NC29" s="157"/>
      <c r="ND29" s="157"/>
      <c r="NE29" s="157"/>
      <c r="NF29" s="157"/>
      <c r="NG29" s="157"/>
      <c r="NH29" s="157"/>
      <c r="NI29" s="157"/>
      <c r="NJ29" s="157"/>
      <c r="NK29" s="157"/>
      <c r="NL29" s="157"/>
      <c r="NM29" s="157"/>
      <c r="NN29" s="157"/>
      <c r="NO29" s="157"/>
      <c r="NP29" s="157"/>
      <c r="NQ29" s="157"/>
      <c r="NR29" s="157"/>
      <c r="NS29" s="157"/>
      <c r="NT29" s="157"/>
      <c r="NU29" s="157"/>
      <c r="NV29" s="157"/>
      <c r="NW29" s="157"/>
      <c r="NX29" s="157"/>
      <c r="NY29" s="157"/>
      <c r="NZ29" s="157"/>
      <c r="OA29" s="157"/>
      <c r="OB29" s="157"/>
      <c r="OC29" s="157"/>
      <c r="OD29" s="157"/>
      <c r="OE29" s="157"/>
      <c r="OF29" s="157"/>
      <c r="OG29" s="157"/>
      <c r="OH29" s="157"/>
    </row>
    <row r="30" spans="1:398"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  <c r="MT30" s="157"/>
      <c r="MU30" s="157"/>
      <c r="MV30" s="157"/>
      <c r="MW30" s="157"/>
      <c r="MX30" s="157"/>
      <c r="MY30" s="157"/>
      <c r="MZ30" s="157"/>
      <c r="NA30" s="157"/>
      <c r="NB30" s="157"/>
      <c r="NC30" s="157"/>
      <c r="ND30" s="157"/>
      <c r="NE30" s="157"/>
      <c r="NF30" s="157"/>
      <c r="NG30" s="157"/>
      <c r="NH30" s="157"/>
      <c r="NI30" s="157"/>
      <c r="NJ30" s="157"/>
      <c r="NK30" s="157"/>
      <c r="NL30" s="157"/>
      <c r="NM30" s="157"/>
      <c r="NN30" s="157"/>
      <c r="NO30" s="157"/>
      <c r="NP30" s="157"/>
      <c r="NQ30" s="157"/>
      <c r="NR30" s="157"/>
      <c r="NS30" s="157"/>
      <c r="NT30" s="157"/>
      <c r="NU30" s="157"/>
      <c r="NV30" s="157"/>
      <c r="NW30" s="157"/>
      <c r="NX30" s="157"/>
      <c r="NY30" s="157"/>
      <c r="NZ30" s="157"/>
      <c r="OA30" s="157"/>
      <c r="OB30" s="157"/>
      <c r="OC30" s="157"/>
      <c r="OD30" s="157"/>
      <c r="OE30" s="157"/>
      <c r="OF30" s="157"/>
      <c r="OG30" s="157"/>
      <c r="OH30" s="157"/>
    </row>
    <row r="31" spans="1:398"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  <c r="ML31" s="157"/>
      <c r="MM31" s="157"/>
      <c r="MN31" s="157"/>
      <c r="MO31" s="157"/>
      <c r="MP31" s="157"/>
      <c r="MQ31" s="157"/>
      <c r="MR31" s="157"/>
      <c r="MS31" s="157"/>
      <c r="MT31" s="157"/>
      <c r="MU31" s="157"/>
      <c r="MV31" s="157"/>
      <c r="MW31" s="157"/>
      <c r="MX31" s="157"/>
      <c r="MY31" s="157"/>
      <c r="MZ31" s="157"/>
      <c r="NA31" s="157"/>
      <c r="NB31" s="157"/>
      <c r="NC31" s="157"/>
      <c r="ND31" s="157"/>
      <c r="NE31" s="157"/>
      <c r="NF31" s="157"/>
      <c r="NG31" s="157"/>
      <c r="NH31" s="157"/>
      <c r="NI31" s="157"/>
      <c r="NJ31" s="157"/>
      <c r="NK31" s="157"/>
      <c r="NL31" s="157"/>
      <c r="NM31" s="157"/>
      <c r="NN31" s="157"/>
      <c r="NO31" s="157"/>
      <c r="NP31" s="157"/>
      <c r="NQ31" s="157"/>
      <c r="NR31" s="157"/>
      <c r="NS31" s="157"/>
      <c r="NT31" s="157"/>
      <c r="NU31" s="157"/>
      <c r="NV31" s="157"/>
      <c r="NW31" s="157"/>
      <c r="NX31" s="157"/>
      <c r="NY31" s="157"/>
      <c r="NZ31" s="157"/>
      <c r="OA31" s="157"/>
      <c r="OB31" s="157"/>
      <c r="OC31" s="157"/>
      <c r="OD31" s="157"/>
      <c r="OE31" s="157"/>
      <c r="OF31" s="157"/>
      <c r="OG31" s="157"/>
      <c r="OH31" s="157"/>
    </row>
  </sheetData>
  <customSheetViews>
    <customSheetView guid="{77EFF5B1-32BE-4080-9902-B97F43099026}">
      <pageMargins left="0.7" right="0.7" top="0.75" bottom="0.75" header="0.3" footer="0.3"/>
      <pageSetup paperSize="9" orientation="portrait" r:id="rId1"/>
    </customSheetView>
    <customSheetView guid="{AAA495E0-27FD-4941-85B8-9038B6AD4FA3}">
      <selection activeCell="C9" sqref="C9"/>
      <pageMargins left="0.7" right="0.7" top="0.75" bottom="0.75" header="0.3" footer="0.3"/>
    </customSheetView>
    <customSheetView guid="{874BA5F8-BD95-4DDF-8F31-98DB154CA965}">
      <selection activeCell="C9" sqref="C9"/>
      <pageMargins left="0.7" right="0.7" top="0.75" bottom="0.75" header="0.3" footer="0.3"/>
    </customSheetView>
    <customSheetView guid="{627AEB6E-B9F1-415E-9A60-881757A50C67}">
      <selection activeCell="J11" sqref="J11"/>
      <pageMargins left="0.7" right="0.7" top="0.75" bottom="0.75" header="0.3" footer="0.3"/>
      <pageSetup paperSize="9" orientation="portrait" r:id="rId2"/>
    </customSheetView>
    <customSheetView guid="{786DE933-524F-40D1-8033-C008687087FC}"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2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Q19"/>
  <sheetViews>
    <sheetView workbookViewId="0">
      <selection activeCell="E12" sqref="E12"/>
    </sheetView>
  </sheetViews>
  <sheetFormatPr defaultColWidth="20.7109375" defaultRowHeight="30" customHeight="1"/>
  <cols>
    <col min="1" max="1" width="8.7109375" customWidth="1"/>
    <col min="2" max="2" width="8.5703125" customWidth="1"/>
    <col min="3" max="3" width="34.42578125" customWidth="1"/>
    <col min="4" max="33" width="12.28515625" customWidth="1"/>
    <col min="34" max="34" width="12.7109375" style="107" customWidth="1"/>
    <col min="35" max="35" width="13.7109375" style="478" customWidth="1"/>
    <col min="36" max="39" width="12.7109375" customWidth="1"/>
    <col min="40" max="40" width="13.7109375" style="478" customWidth="1"/>
    <col min="41" max="41" width="13.42578125" customWidth="1"/>
    <col min="42" max="44" width="12.7109375" customWidth="1"/>
    <col min="45" max="45" width="15.7109375" customWidth="1"/>
    <col min="46" max="49" width="12.7109375" customWidth="1"/>
    <col min="50" max="50" width="15.7109375" customWidth="1"/>
    <col min="51" max="54" width="12.7109375" customWidth="1"/>
    <col min="55" max="55" width="15.7109375" customWidth="1"/>
    <col min="56" max="59" width="12.7109375" customWidth="1"/>
    <col min="60" max="60" width="15.7109375" customWidth="1"/>
    <col min="61" max="64" width="12.7109375" customWidth="1"/>
    <col min="65" max="65" width="15.7109375" customWidth="1"/>
    <col min="66" max="69" width="12.7109375" customWidth="1"/>
  </cols>
  <sheetData>
    <row r="1" spans="2:69" ht="30" customHeight="1">
      <c r="J1" s="216"/>
      <c r="K1" s="216"/>
    </row>
    <row r="2" spans="2:69" ht="30" customHeight="1">
      <c r="C2" s="223" t="s">
        <v>322</v>
      </c>
      <c r="J2" s="216"/>
      <c r="K2" s="216"/>
      <c r="BC2" s="216"/>
      <c r="BD2" s="216"/>
      <c r="BE2" s="216"/>
    </row>
    <row r="3" spans="2:69" ht="9" customHeight="1"/>
    <row r="4" spans="2:69" ht="36" customHeight="1">
      <c r="C4" s="239"/>
      <c r="D4" s="239"/>
      <c r="E4" s="384">
        <v>2025</v>
      </c>
      <c r="F4" s="384" t="s">
        <v>956</v>
      </c>
      <c r="G4" s="384" t="s">
        <v>957</v>
      </c>
      <c r="H4" s="384" t="s">
        <v>958</v>
      </c>
      <c r="I4" s="384" t="s">
        <v>959</v>
      </c>
      <c r="J4" s="384">
        <v>2024</v>
      </c>
      <c r="K4" s="384" t="s">
        <v>857</v>
      </c>
      <c r="L4" s="384" t="s">
        <v>856</v>
      </c>
      <c r="M4" s="384" t="s">
        <v>855</v>
      </c>
      <c r="N4" s="384" t="s">
        <v>845</v>
      </c>
      <c r="O4" s="384">
        <v>2023</v>
      </c>
      <c r="P4" s="384" t="s">
        <v>790</v>
      </c>
      <c r="Q4" s="384" t="s">
        <v>791</v>
      </c>
      <c r="R4" s="384" t="s">
        <v>792</v>
      </c>
      <c r="S4" s="384" t="s">
        <v>789</v>
      </c>
      <c r="T4" s="384">
        <v>2022</v>
      </c>
      <c r="U4" s="384" t="s">
        <v>715</v>
      </c>
      <c r="V4" s="384" t="s">
        <v>714</v>
      </c>
      <c r="W4" s="384" t="s">
        <v>713</v>
      </c>
      <c r="X4" s="384" t="s">
        <v>702</v>
      </c>
      <c r="Y4" s="384">
        <v>2021</v>
      </c>
      <c r="Z4" s="384" t="s">
        <v>631</v>
      </c>
      <c r="AA4" s="384" t="s">
        <v>632</v>
      </c>
      <c r="AB4" s="277" t="s">
        <v>633</v>
      </c>
      <c r="AC4" s="277" t="s">
        <v>634</v>
      </c>
      <c r="AD4" s="384">
        <v>2020</v>
      </c>
      <c r="AE4" s="384" t="s">
        <v>613</v>
      </c>
      <c r="AF4" s="384" t="s">
        <v>598</v>
      </c>
      <c r="AG4" s="277" t="s">
        <v>583</v>
      </c>
      <c r="AH4" s="277" t="s">
        <v>576</v>
      </c>
      <c r="AI4" s="240">
        <v>2019</v>
      </c>
      <c r="AJ4" s="384" t="s">
        <v>565</v>
      </c>
      <c r="AK4" s="384" t="s">
        <v>551</v>
      </c>
      <c r="AL4" s="384" t="s">
        <v>537</v>
      </c>
      <c r="AM4" s="277" t="s">
        <v>528</v>
      </c>
      <c r="AN4" s="240">
        <v>2018</v>
      </c>
      <c r="AO4" s="308" t="s">
        <v>515</v>
      </c>
      <c r="AP4" s="308" t="s">
        <v>500</v>
      </c>
      <c r="AQ4" s="274" t="s">
        <v>456</v>
      </c>
      <c r="AR4" s="277" t="s">
        <v>438</v>
      </c>
      <c r="AS4" s="240">
        <v>2017</v>
      </c>
      <c r="AT4" s="274" t="s">
        <v>439</v>
      </c>
      <c r="AU4" s="275" t="s">
        <v>440</v>
      </c>
      <c r="AV4" s="276" t="s">
        <v>441</v>
      </c>
      <c r="AW4" s="277" t="s">
        <v>442</v>
      </c>
      <c r="AX4" s="240">
        <v>2016</v>
      </c>
      <c r="AY4" s="274" t="s">
        <v>443</v>
      </c>
      <c r="AZ4" s="275" t="s">
        <v>444</v>
      </c>
      <c r="BA4" s="276" t="s">
        <v>445</v>
      </c>
      <c r="BB4" s="277" t="s">
        <v>446</v>
      </c>
      <c r="BC4" s="240">
        <v>2015</v>
      </c>
      <c r="BD4" s="274" t="s">
        <v>447</v>
      </c>
      <c r="BE4" s="275" t="s">
        <v>326</v>
      </c>
      <c r="BF4" s="276" t="s">
        <v>448</v>
      </c>
      <c r="BG4" s="277" t="s">
        <v>449</v>
      </c>
      <c r="BH4" s="240">
        <v>2014</v>
      </c>
      <c r="BI4" s="274" t="s">
        <v>450</v>
      </c>
      <c r="BJ4" s="275" t="s">
        <v>292</v>
      </c>
      <c r="BK4" s="276" t="s">
        <v>451</v>
      </c>
      <c r="BL4" s="277" t="s">
        <v>452</v>
      </c>
      <c r="BM4" s="240">
        <v>2013</v>
      </c>
      <c r="BN4" s="274" t="s">
        <v>453</v>
      </c>
      <c r="BO4" s="275" t="s">
        <v>454</v>
      </c>
      <c r="BP4" s="276" t="s">
        <v>295</v>
      </c>
      <c r="BQ4" s="277" t="s">
        <v>455</v>
      </c>
    </row>
    <row r="5" spans="2:69" ht="30" customHeight="1">
      <c r="C5" s="224" t="s">
        <v>44</v>
      </c>
      <c r="D5" s="225" t="s">
        <v>46</v>
      </c>
      <c r="E5" s="404">
        <f t="shared" ref="E5:E13" si="0">SUM(F5:I5)</f>
        <v>0</v>
      </c>
      <c r="F5" s="404"/>
      <c r="G5" s="404"/>
      <c r="H5" s="404"/>
      <c r="I5" s="404"/>
      <c r="J5" s="404">
        <f>SUM(P5:S5)</f>
        <v>0</v>
      </c>
      <c r="K5" s="404"/>
      <c r="L5" s="404"/>
      <c r="M5" s="404">
        <v>0</v>
      </c>
      <c r="N5" s="404">
        <v>0</v>
      </c>
      <c r="O5" s="404">
        <f t="shared" ref="O5:O13" si="1">SUM(P5:S5)</f>
        <v>0</v>
      </c>
      <c r="P5" s="404">
        <v>0</v>
      </c>
      <c r="Q5" s="404">
        <v>0</v>
      </c>
      <c r="R5" s="404">
        <v>0</v>
      </c>
      <c r="S5" s="404">
        <v>0</v>
      </c>
      <c r="T5" s="385">
        <f t="shared" ref="T5:T13" si="2">SUM(U5:X5)</f>
        <v>5.0069999999999997</v>
      </c>
      <c r="U5" s="385">
        <v>1.601</v>
      </c>
      <c r="V5" s="385">
        <v>0.70299999999999996</v>
      </c>
      <c r="W5" s="404">
        <v>1.25</v>
      </c>
      <c r="X5" s="385">
        <v>1.4530000000000001</v>
      </c>
      <c r="Y5" s="522">
        <f t="shared" ref="Y5:Y13" si="3">SUM(Z5:AC5)</f>
        <v>5.1480000000000006</v>
      </c>
      <c r="Z5" s="404">
        <v>1.45</v>
      </c>
      <c r="AA5" s="527">
        <v>1</v>
      </c>
      <c r="AB5" s="522">
        <v>1.264</v>
      </c>
      <c r="AC5" s="404">
        <v>1.4339999999999999</v>
      </c>
      <c r="AD5" s="385">
        <v>4.54</v>
      </c>
      <c r="AE5" s="404">
        <f t="shared" ref="AE5:AE13" si="4">AD5-SUM(AF5:AH5)</f>
        <v>0.96</v>
      </c>
      <c r="AF5" s="404">
        <v>1.1000000000000001</v>
      </c>
      <c r="AG5" s="404">
        <v>1.3</v>
      </c>
      <c r="AH5" s="490">
        <v>1.18</v>
      </c>
      <c r="AI5" s="485">
        <v>3.78</v>
      </c>
      <c r="AJ5" s="404">
        <v>0.83999999999999986</v>
      </c>
      <c r="AK5" s="385">
        <v>0.69</v>
      </c>
      <c r="AL5" s="385">
        <v>0.99</v>
      </c>
      <c r="AM5" s="280">
        <v>1.26</v>
      </c>
      <c r="AN5" s="479">
        <v>5.01</v>
      </c>
      <c r="AO5" s="309">
        <v>1.4</v>
      </c>
      <c r="AP5" s="309">
        <v>1.0900000000000001</v>
      </c>
      <c r="AQ5" s="278">
        <v>1.1000000000000001</v>
      </c>
      <c r="AR5" s="280">
        <v>1.42</v>
      </c>
      <c r="AS5" s="226">
        <v>6.45</v>
      </c>
      <c r="AT5" s="278">
        <v>1.7700000000000005</v>
      </c>
      <c r="AU5" s="279">
        <v>1.3599999999999999</v>
      </c>
      <c r="AV5" s="279">
        <v>1.8099999999999998</v>
      </c>
      <c r="AW5" s="280">
        <v>1.51</v>
      </c>
      <c r="AX5" s="226">
        <v>6.37</v>
      </c>
      <c r="AY5" s="278">
        <v>2.16</v>
      </c>
      <c r="AZ5" s="279">
        <v>1.73</v>
      </c>
      <c r="BA5" s="279">
        <v>1.27</v>
      </c>
      <c r="BB5" s="280">
        <v>1.21</v>
      </c>
      <c r="BC5" s="226">
        <v>4.91</v>
      </c>
      <c r="BD5" s="278">
        <v>1.46</v>
      </c>
      <c r="BE5" s="279">
        <v>1.4400000000000004</v>
      </c>
      <c r="BF5" s="279">
        <v>1.0399999999999998</v>
      </c>
      <c r="BG5" s="280">
        <v>0.97</v>
      </c>
      <c r="BH5" s="226">
        <v>5.3968030000000002</v>
      </c>
      <c r="BI5" s="278">
        <v>1.4087710000000002</v>
      </c>
      <c r="BJ5" s="279">
        <v>1.44</v>
      </c>
      <c r="BK5" s="279">
        <v>1.3</v>
      </c>
      <c r="BL5" s="280">
        <v>1.25</v>
      </c>
      <c r="BM5" s="226">
        <v>5.45</v>
      </c>
      <c r="BN5" s="278">
        <v>1.19</v>
      </c>
      <c r="BO5" s="279">
        <v>1.26</v>
      </c>
      <c r="BP5" s="279">
        <v>1.48</v>
      </c>
      <c r="BQ5" s="280">
        <v>1.52</v>
      </c>
    </row>
    <row r="6" spans="2:69" ht="30" customHeight="1">
      <c r="C6" s="224" t="s">
        <v>47</v>
      </c>
      <c r="D6" s="225" t="s">
        <v>3</v>
      </c>
      <c r="E6" s="385">
        <f t="shared" si="0"/>
        <v>3.4899999999999998</v>
      </c>
      <c r="F6" s="385"/>
      <c r="G6" s="385"/>
      <c r="H6" s="385"/>
      <c r="I6" s="385">
        <f>0.48+3.01</f>
        <v>3.4899999999999998</v>
      </c>
      <c r="J6" s="385">
        <f t="shared" ref="J6:J13" si="5">SUM(K6:N6)</f>
        <v>11.507999999999999</v>
      </c>
      <c r="K6" s="385">
        <v>3.51</v>
      </c>
      <c r="L6" s="385">
        <v>2.5880000000000001</v>
      </c>
      <c r="M6" s="385">
        <f>1.86+0.34</f>
        <v>2.2000000000000002</v>
      </c>
      <c r="N6" s="527">
        <v>3.21</v>
      </c>
      <c r="O6" s="385">
        <f t="shared" si="1"/>
        <v>12.667999999999999</v>
      </c>
      <c r="P6" s="385">
        <f>0.51+3.15+0.02</f>
        <v>3.68</v>
      </c>
      <c r="Q6" s="404">
        <v>2.6840000000000002</v>
      </c>
      <c r="R6" s="385">
        <v>2.444</v>
      </c>
      <c r="S6" s="404">
        <f>3.84+0.02</f>
        <v>3.86</v>
      </c>
      <c r="T6" s="385">
        <f t="shared" si="2"/>
        <v>15.666</v>
      </c>
      <c r="U6" s="385">
        <f>4.369+0.005</f>
        <v>4.3739999999999997</v>
      </c>
      <c r="V6" s="404">
        <f>3.3+0.15</f>
        <v>3.4499999999999997</v>
      </c>
      <c r="W6" s="404">
        <f>3.92+0.02</f>
        <v>3.94</v>
      </c>
      <c r="X6" s="385">
        <f>3.337+0.545+0.02</f>
        <v>3.9020000000000001</v>
      </c>
      <c r="Y6" s="522">
        <f t="shared" si="3"/>
        <v>15.587999999999997</v>
      </c>
      <c r="Z6" s="404">
        <f>3.73+0.48</f>
        <v>4.21</v>
      </c>
      <c r="AA6" s="522">
        <v>3.64</v>
      </c>
      <c r="AB6" s="522">
        <f>3.51+0.004</f>
        <v>3.5139999999999998</v>
      </c>
      <c r="AC6" s="522">
        <f>4.22+0.004</f>
        <v>4.2239999999999993</v>
      </c>
      <c r="AD6" s="385">
        <f>1.94+10.56</f>
        <v>12.5</v>
      </c>
      <c r="AE6" s="404">
        <f t="shared" si="4"/>
        <v>3.7800000000000011</v>
      </c>
      <c r="AF6" s="404">
        <v>2.85</v>
      </c>
      <c r="AG6" s="404">
        <v>2.66</v>
      </c>
      <c r="AH6" s="490">
        <v>3.21</v>
      </c>
      <c r="AI6" s="486">
        <v>13.875713506999997</v>
      </c>
      <c r="AJ6" s="385">
        <v>3.4609675430000006</v>
      </c>
      <c r="AK6" s="385">
        <v>3.26</v>
      </c>
      <c r="AL6" s="385">
        <v>3.33</v>
      </c>
      <c r="AM6" s="280">
        <v>3.82</v>
      </c>
      <c r="AN6" s="479">
        <v>16.21</v>
      </c>
      <c r="AO6" s="309">
        <v>4.3</v>
      </c>
      <c r="AP6" s="309">
        <v>4.3499999999999996</v>
      </c>
      <c r="AQ6" s="278">
        <v>3.62</v>
      </c>
      <c r="AR6" s="280">
        <v>3.9350000000000001</v>
      </c>
      <c r="AS6" s="226">
        <v>18.41</v>
      </c>
      <c r="AT6" s="278">
        <v>4.3800000000000008</v>
      </c>
      <c r="AU6" s="279">
        <v>4.5699999999999985</v>
      </c>
      <c r="AV6" s="279">
        <v>4.5599999999999996</v>
      </c>
      <c r="AW6" s="280">
        <v>4.8899999999999997</v>
      </c>
      <c r="AX6" s="226">
        <v>16.8</v>
      </c>
      <c r="AY6" s="278">
        <v>4.3500000000000014</v>
      </c>
      <c r="AZ6" s="279">
        <v>4</v>
      </c>
      <c r="BA6" s="279">
        <v>4.1399999999999997</v>
      </c>
      <c r="BB6" s="280">
        <v>4.3099999999999996</v>
      </c>
      <c r="BC6" s="226">
        <v>18.559999999999999</v>
      </c>
      <c r="BD6" s="278">
        <v>4.759999999999998</v>
      </c>
      <c r="BE6" s="279">
        <v>5.0400000000000009</v>
      </c>
      <c r="BF6" s="279">
        <v>4.3599999999999994</v>
      </c>
      <c r="BG6" s="280">
        <v>4.4000000000000004</v>
      </c>
      <c r="BH6" s="226">
        <v>15.370999407999999</v>
      </c>
      <c r="BI6" s="278">
        <v>4.1051981819999988</v>
      </c>
      <c r="BJ6" s="279">
        <v>3.77</v>
      </c>
      <c r="BK6" s="279">
        <v>3.59</v>
      </c>
      <c r="BL6" s="280">
        <v>3.69</v>
      </c>
      <c r="BM6" s="226">
        <v>19.39</v>
      </c>
      <c r="BN6" s="278">
        <v>5.1100000000000003</v>
      </c>
      <c r="BO6" s="279">
        <v>4.53</v>
      </c>
      <c r="BP6" s="279">
        <v>4.5999999999999996</v>
      </c>
      <c r="BQ6" s="280">
        <v>5.15</v>
      </c>
    </row>
    <row r="7" spans="2:69" ht="30" customHeight="1">
      <c r="B7" s="335"/>
      <c r="C7" s="227" t="s">
        <v>35</v>
      </c>
      <c r="D7" s="228" t="s">
        <v>3</v>
      </c>
      <c r="E7" s="386">
        <f t="shared" si="0"/>
        <v>0.47499999999999998</v>
      </c>
      <c r="F7" s="386"/>
      <c r="G7" s="386"/>
      <c r="H7" s="386"/>
      <c r="I7" s="386">
        <v>0.47499999999999998</v>
      </c>
      <c r="J7" s="386">
        <f t="shared" si="5"/>
        <v>1.6860000000000002</v>
      </c>
      <c r="K7" s="386">
        <v>0.48599999999999999</v>
      </c>
      <c r="L7" s="386">
        <v>0.32</v>
      </c>
      <c r="M7" s="386">
        <v>0.34</v>
      </c>
      <c r="N7" s="386">
        <v>0.54</v>
      </c>
      <c r="O7" s="386">
        <f t="shared" si="1"/>
        <v>1.6743999999999999</v>
      </c>
      <c r="P7" s="386">
        <v>0.50600000000000001</v>
      </c>
      <c r="Q7" s="386">
        <f>0.24+0.06-0.005</f>
        <v>0.29499999999999998</v>
      </c>
      <c r="R7" s="386">
        <f>0.178+0.123+0.007+0.0354</f>
        <v>0.34339999999999998</v>
      </c>
      <c r="S7" s="503">
        <v>0.53</v>
      </c>
      <c r="T7" s="386">
        <f>SUM(U7:X7)+0.01</f>
        <v>1.5707000000000002</v>
      </c>
      <c r="U7" s="386">
        <v>0.36070000000000002</v>
      </c>
      <c r="V7" s="503">
        <v>0.28000000000000003</v>
      </c>
      <c r="W7" s="503">
        <v>0.38</v>
      </c>
      <c r="X7" s="386">
        <v>0.54</v>
      </c>
      <c r="Y7" s="389">
        <f t="shared" ref="Y7" si="6">SUM(Z7:AC7)</f>
        <v>1.71</v>
      </c>
      <c r="Z7" s="503">
        <v>0.48</v>
      </c>
      <c r="AA7" s="389">
        <f>1.23-SUM(AB7:AC7)</f>
        <v>0.33999999999999997</v>
      </c>
      <c r="AB7" s="389">
        <f>0.89-AC7</f>
        <v>0.41000000000000003</v>
      </c>
      <c r="AC7" s="503">
        <v>0.48</v>
      </c>
      <c r="AD7" s="386">
        <v>1.94</v>
      </c>
      <c r="AE7" s="503">
        <f t="shared" si="4"/>
        <v>0.54999999999999982</v>
      </c>
      <c r="AF7" s="503">
        <v>0.4</v>
      </c>
      <c r="AG7" s="503">
        <v>0.42</v>
      </c>
      <c r="AH7" s="491">
        <v>0.56999999999999995</v>
      </c>
      <c r="AI7" s="487">
        <v>1.3816017022450002</v>
      </c>
      <c r="AJ7" s="386">
        <v>0.40719917004499989</v>
      </c>
      <c r="AK7" s="386">
        <v>0.28999999999999998</v>
      </c>
      <c r="AL7" s="386">
        <v>0.3</v>
      </c>
      <c r="AM7" s="283">
        <v>0.39</v>
      </c>
      <c r="AN7" s="480">
        <v>0.97</v>
      </c>
      <c r="AO7" s="310">
        <v>0.28000000000000003</v>
      </c>
      <c r="AP7" s="310">
        <v>0.18</v>
      </c>
      <c r="AQ7" s="281">
        <v>0.26600000000000001</v>
      </c>
      <c r="AR7" s="283">
        <v>0.24</v>
      </c>
      <c r="AS7" s="229">
        <f t="shared" ref="AS7" si="7">SUM(AS8:AS10)</f>
        <v>1.2999999999999998</v>
      </c>
      <c r="AT7" s="281">
        <v>0.35999999999999988</v>
      </c>
      <c r="AU7" s="282">
        <v>0.27999999999999992</v>
      </c>
      <c r="AV7" s="282">
        <v>0.33</v>
      </c>
      <c r="AW7" s="283">
        <f>SUM(AW8:AW10)</f>
        <v>0.32791900000000002</v>
      </c>
      <c r="AX7" s="229">
        <f t="shared" ref="AX7" si="8">SUM(AX8:AX10)</f>
        <v>1.3220000000000001</v>
      </c>
      <c r="AY7" s="281">
        <v>0.32200000000000006</v>
      </c>
      <c r="AZ7" s="282">
        <v>0.22999999999999998</v>
      </c>
      <c r="BA7" s="282">
        <v>0.36000000000000004</v>
      </c>
      <c r="BB7" s="283">
        <v>0.41</v>
      </c>
      <c r="BC7" s="229">
        <v>1.63</v>
      </c>
      <c r="BD7" s="281">
        <v>0.42999999999999994</v>
      </c>
      <c r="BE7" s="282">
        <v>0.22999999999999998</v>
      </c>
      <c r="BF7" s="282">
        <v>0.44</v>
      </c>
      <c r="BG7" s="283">
        <v>0.54</v>
      </c>
      <c r="BH7" s="229">
        <v>1.7895214260000003</v>
      </c>
      <c r="BI7" s="281">
        <v>0.46353000700000035</v>
      </c>
      <c r="BJ7" s="282">
        <v>0.42</v>
      </c>
      <c r="BK7" s="282">
        <v>0.44</v>
      </c>
      <c r="BL7" s="283">
        <v>0.47</v>
      </c>
      <c r="BM7" s="229">
        <v>1.38</v>
      </c>
      <c r="BN7" s="281">
        <v>0.47</v>
      </c>
      <c r="BO7" s="282">
        <v>0.31</v>
      </c>
      <c r="BP7" s="282">
        <v>0.32</v>
      </c>
      <c r="BQ7" s="283">
        <v>0.28000000000000003</v>
      </c>
    </row>
    <row r="8" spans="2:69" ht="23.25" customHeight="1">
      <c r="B8" s="335"/>
      <c r="C8" s="230" t="s">
        <v>36</v>
      </c>
      <c r="D8" s="231" t="s">
        <v>3</v>
      </c>
      <c r="E8" s="387">
        <f t="shared" si="0"/>
        <v>5.3999999999999999E-2</v>
      </c>
      <c r="F8" s="387"/>
      <c r="G8" s="387"/>
      <c r="H8" s="387"/>
      <c r="I8" s="387">
        <v>5.3999999999999999E-2</v>
      </c>
      <c r="J8" s="387">
        <f t="shared" si="5"/>
        <v>0.124</v>
      </c>
      <c r="K8" s="387">
        <v>3.9E-2</v>
      </c>
      <c r="L8" s="387">
        <v>0</v>
      </c>
      <c r="M8" s="387">
        <v>0.02</v>
      </c>
      <c r="N8" s="387">
        <v>6.5000000000000002E-2</v>
      </c>
      <c r="O8" s="387">
        <f t="shared" si="1"/>
        <v>0.21139999999999998</v>
      </c>
      <c r="P8" s="387">
        <v>0.06</v>
      </c>
      <c r="Q8" s="504">
        <v>5.6000000000000001E-2</v>
      </c>
      <c r="R8" s="387">
        <v>3.5400000000000001E-2</v>
      </c>
      <c r="S8" s="504">
        <v>0.06</v>
      </c>
      <c r="T8" s="387">
        <f t="shared" si="2"/>
        <v>0.33599999999999997</v>
      </c>
      <c r="U8" s="387">
        <v>0.06</v>
      </c>
      <c r="V8" s="387">
        <v>6.4000000000000001E-2</v>
      </c>
      <c r="W8" s="387">
        <v>9.1999999999999998E-2</v>
      </c>
      <c r="X8" s="387">
        <v>0.12</v>
      </c>
      <c r="Y8" s="390">
        <f t="shared" si="3"/>
        <v>0.43</v>
      </c>
      <c r="Z8" s="504">
        <v>0.14000000000000001</v>
      </c>
      <c r="AA8" s="390">
        <f t="shared" ref="AA8" si="9">0.29-SUM(AB8:AC8)</f>
        <v>6.9999999999999979E-2</v>
      </c>
      <c r="AB8" s="390">
        <f>0.22-AC8</f>
        <v>7.9999999999999988E-2</v>
      </c>
      <c r="AC8" s="504">
        <v>0.14000000000000001</v>
      </c>
      <c r="AD8" s="387">
        <v>0.56999999999999995</v>
      </c>
      <c r="AE8" s="504">
        <f t="shared" si="4"/>
        <v>0.17999999999999994</v>
      </c>
      <c r="AF8" s="504">
        <v>0.15</v>
      </c>
      <c r="AG8" s="504">
        <v>0.13</v>
      </c>
      <c r="AH8" s="492">
        <v>0.11</v>
      </c>
      <c r="AI8" s="488">
        <v>0.34162987124499994</v>
      </c>
      <c r="AJ8" s="387">
        <v>7.3611050044999987E-2</v>
      </c>
      <c r="AK8" s="387">
        <v>0.1</v>
      </c>
      <c r="AL8" s="387">
        <v>0.08</v>
      </c>
      <c r="AM8" s="286">
        <v>0.09</v>
      </c>
      <c r="AN8" s="481">
        <v>0.25</v>
      </c>
      <c r="AO8" s="311">
        <v>0.1</v>
      </c>
      <c r="AP8" s="311">
        <v>0.04</v>
      </c>
      <c r="AQ8" s="284">
        <v>0.09</v>
      </c>
      <c r="AR8" s="286">
        <v>2.3E-2</v>
      </c>
      <c r="AS8" s="232">
        <v>0.34799999999999998</v>
      </c>
      <c r="AT8" s="284">
        <v>5.7999999999999996E-2</v>
      </c>
      <c r="AU8" s="285">
        <v>0.10999999999999999</v>
      </c>
      <c r="AV8" s="285">
        <v>7.9999999999999988E-2</v>
      </c>
      <c r="AW8" s="286">
        <v>0.1</v>
      </c>
      <c r="AX8" s="233">
        <v>0.496</v>
      </c>
      <c r="AY8" s="284">
        <v>4.5999999999999985E-2</v>
      </c>
      <c r="AZ8" s="285">
        <v>8.0000000000000016E-2</v>
      </c>
      <c r="BA8" s="285">
        <v>0.16999999999999998</v>
      </c>
      <c r="BB8" s="286">
        <v>0.2</v>
      </c>
      <c r="BC8" s="272">
        <v>0.81799999999999995</v>
      </c>
      <c r="BD8" s="284">
        <v>0.20799999999999996</v>
      </c>
      <c r="BE8" s="285">
        <v>9.9999999999999978E-2</v>
      </c>
      <c r="BF8" s="285">
        <v>0.22000000000000003</v>
      </c>
      <c r="BG8" s="286">
        <v>0.28999999999999998</v>
      </c>
      <c r="BH8" s="272">
        <v>1.0375974620000001</v>
      </c>
      <c r="BI8" s="284">
        <v>0.27745330400000012</v>
      </c>
      <c r="BJ8" s="285">
        <v>0.22</v>
      </c>
      <c r="BK8" s="285">
        <v>0.26</v>
      </c>
      <c r="BL8" s="286">
        <v>0.27</v>
      </c>
      <c r="BM8" s="272">
        <v>0.77</v>
      </c>
      <c r="BN8" s="284">
        <v>0.27</v>
      </c>
      <c r="BO8" s="285">
        <v>0.18</v>
      </c>
      <c r="BP8" s="285">
        <v>0.15</v>
      </c>
      <c r="BQ8" s="286">
        <v>0.16</v>
      </c>
    </row>
    <row r="9" spans="2:69" ht="22.5" customHeight="1">
      <c r="B9" s="335"/>
      <c r="C9" s="230" t="s">
        <v>37</v>
      </c>
      <c r="D9" s="231" t="s">
        <v>3</v>
      </c>
      <c r="E9" s="387">
        <f t="shared" si="0"/>
        <v>6.7000000000000004E-2</v>
      </c>
      <c r="F9" s="387"/>
      <c r="G9" s="387"/>
      <c r="H9" s="387"/>
      <c r="I9" s="387">
        <v>6.7000000000000004E-2</v>
      </c>
      <c r="J9" s="387">
        <f t="shared" si="5"/>
        <v>0.33200000000000002</v>
      </c>
      <c r="K9" s="387">
        <v>6.4000000000000001E-2</v>
      </c>
      <c r="L9" s="387">
        <v>5.1999999999999998E-2</v>
      </c>
      <c r="M9" s="387">
        <v>0.08</v>
      </c>
      <c r="N9" s="387">
        <v>0.13600000000000001</v>
      </c>
      <c r="O9" s="387">
        <f t="shared" si="1"/>
        <v>0.442</v>
      </c>
      <c r="P9" s="387">
        <v>0.11</v>
      </c>
      <c r="Q9" s="504">
        <v>7.5999999999999998E-2</v>
      </c>
      <c r="R9" s="387">
        <v>0.123</v>
      </c>
      <c r="S9" s="387">
        <v>0.13300000000000001</v>
      </c>
      <c r="T9" s="387">
        <f t="shared" si="2"/>
        <v>0.32400000000000001</v>
      </c>
      <c r="U9" s="606">
        <v>6.6000000000000003E-2</v>
      </c>
      <c r="V9" s="387">
        <v>5.8000000000000003E-2</v>
      </c>
      <c r="W9" s="387">
        <v>0.09</v>
      </c>
      <c r="X9" s="387">
        <v>0.11</v>
      </c>
      <c r="Y9" s="390">
        <f t="shared" si="3"/>
        <v>0.42</v>
      </c>
      <c r="Z9" s="504">
        <v>0.06</v>
      </c>
      <c r="AA9" s="390">
        <f>0.36-SUM(AB9:AC9)</f>
        <v>0.11157</v>
      </c>
      <c r="AB9" s="497">
        <v>0.13</v>
      </c>
      <c r="AC9" s="492">
        <v>0.11842999999999999</v>
      </c>
      <c r="AD9" s="387">
        <v>0.4</v>
      </c>
      <c r="AE9" s="504">
        <f t="shared" si="4"/>
        <v>0.1100000000000001</v>
      </c>
      <c r="AF9" s="387">
        <f>0.29-SUM(AG9:AH9)</f>
        <v>-1.0000000000000064E-2</v>
      </c>
      <c r="AG9" s="492">
        <v>0.2</v>
      </c>
      <c r="AH9" s="492">
        <v>0.1</v>
      </c>
      <c r="AI9" s="488">
        <v>0.36198740600000001</v>
      </c>
      <c r="AJ9" s="387">
        <v>5.9641453999999969E-2</v>
      </c>
      <c r="AK9" s="387">
        <v>0.05</v>
      </c>
      <c r="AL9" s="387">
        <v>0.13</v>
      </c>
      <c r="AM9" s="286">
        <v>0.12</v>
      </c>
      <c r="AN9" s="481">
        <v>0.31</v>
      </c>
      <c r="AO9" s="311">
        <v>0.05</v>
      </c>
      <c r="AP9" s="311">
        <v>0.06</v>
      </c>
      <c r="AQ9" s="284">
        <v>8.3000000000000004E-2</v>
      </c>
      <c r="AR9" s="286">
        <v>0.107</v>
      </c>
      <c r="AS9" s="232">
        <v>0.433</v>
      </c>
      <c r="AT9" s="284">
        <v>0.13300000000000001</v>
      </c>
      <c r="AU9" s="285">
        <v>0.08</v>
      </c>
      <c r="AV9" s="285">
        <v>0.129389</v>
      </c>
      <c r="AW9" s="286">
        <v>0.10061100000000001</v>
      </c>
      <c r="AX9" s="233">
        <v>0.38300000000000001</v>
      </c>
      <c r="AY9" s="284">
        <v>0.123</v>
      </c>
      <c r="AZ9" s="285">
        <v>0.08</v>
      </c>
      <c r="BA9" s="285">
        <v>0.1</v>
      </c>
      <c r="BB9" s="286">
        <v>0.09</v>
      </c>
      <c r="BC9" s="272">
        <v>0.316</v>
      </c>
      <c r="BD9" s="284">
        <v>0.06</v>
      </c>
      <c r="BE9" s="285">
        <v>3.5000000000000003E-2</v>
      </c>
      <c r="BF9" s="285">
        <v>0.110348</v>
      </c>
      <c r="BG9" s="286">
        <v>0.11</v>
      </c>
      <c r="BH9" s="272">
        <v>0.37839795000000009</v>
      </c>
      <c r="BI9" s="284">
        <v>8.567395000000011E-2</v>
      </c>
      <c r="BJ9" s="285">
        <v>0.12</v>
      </c>
      <c r="BK9" s="285">
        <v>0.1</v>
      </c>
      <c r="BL9" s="286">
        <v>0.2</v>
      </c>
      <c r="BM9" s="272">
        <v>0.37</v>
      </c>
      <c r="BN9" s="284">
        <v>7.0000000000000007E-2</v>
      </c>
      <c r="BO9" s="285">
        <v>7.0000000000000007E-2</v>
      </c>
      <c r="BP9" s="285">
        <v>0.14000000000000001</v>
      </c>
      <c r="BQ9" s="286">
        <v>0.09</v>
      </c>
    </row>
    <row r="10" spans="2:69" ht="24" customHeight="1">
      <c r="B10" s="335"/>
      <c r="C10" s="234" t="s">
        <v>38</v>
      </c>
      <c r="D10" s="235" t="s">
        <v>3</v>
      </c>
      <c r="E10" s="388">
        <f t="shared" si="0"/>
        <v>0.33700000000000002</v>
      </c>
      <c r="F10" s="388"/>
      <c r="G10" s="388"/>
      <c r="H10" s="388"/>
      <c r="I10" s="388">
        <v>0.33700000000000002</v>
      </c>
      <c r="J10" s="388">
        <f t="shared" si="5"/>
        <v>1.151</v>
      </c>
      <c r="K10" s="388">
        <v>0.37</v>
      </c>
      <c r="L10" s="388">
        <v>0.23499999999999999</v>
      </c>
      <c r="M10" s="388">
        <v>0.215</v>
      </c>
      <c r="N10" s="388">
        <v>0.33100000000000002</v>
      </c>
      <c r="O10" s="388">
        <f t="shared" si="1"/>
        <v>1.0089999999999999</v>
      </c>
      <c r="P10" s="388">
        <v>0.34</v>
      </c>
      <c r="Q10" s="505">
        <v>0.16</v>
      </c>
      <c r="R10" s="388">
        <v>0.17799999999999999</v>
      </c>
      <c r="S10" s="388">
        <v>0.33100000000000002</v>
      </c>
      <c r="T10" s="388">
        <f t="shared" si="2"/>
        <v>0.88600000000000012</v>
      </c>
      <c r="U10" s="388">
        <v>0.23</v>
      </c>
      <c r="V10" s="388">
        <v>0.154</v>
      </c>
      <c r="W10" s="388">
        <v>0.186</v>
      </c>
      <c r="X10" s="388">
        <v>0.316</v>
      </c>
      <c r="Y10" s="391">
        <f t="shared" si="3"/>
        <v>0.85000000000000009</v>
      </c>
      <c r="Z10" s="505">
        <v>0.28000000000000003</v>
      </c>
      <c r="AA10" s="391">
        <f>0.57-SUM(AB10:AC10)</f>
        <v>0.15456999999999999</v>
      </c>
      <c r="AB10" s="498">
        <v>0.19</v>
      </c>
      <c r="AC10" s="493">
        <v>0.22542999999999999</v>
      </c>
      <c r="AD10" s="388">
        <v>0.97</v>
      </c>
      <c r="AE10" s="505">
        <f t="shared" si="4"/>
        <v>0.36</v>
      </c>
      <c r="AF10" s="388">
        <v>0.15</v>
      </c>
      <c r="AG10" s="493">
        <v>0.1</v>
      </c>
      <c r="AH10" s="493">
        <v>0.36</v>
      </c>
      <c r="AI10" s="489">
        <v>0.67798442499999989</v>
      </c>
      <c r="AJ10" s="388">
        <v>0.27394666599999995</v>
      </c>
      <c r="AK10" s="388">
        <v>0.13</v>
      </c>
      <c r="AL10" s="388">
        <v>0.1</v>
      </c>
      <c r="AM10" s="289">
        <v>0.17</v>
      </c>
      <c r="AN10" s="482">
        <v>0.41</v>
      </c>
      <c r="AO10" s="312">
        <v>0.13</v>
      </c>
      <c r="AP10" s="312">
        <v>0.08</v>
      </c>
      <c r="AQ10" s="287">
        <v>9.2999999999999999E-2</v>
      </c>
      <c r="AR10" s="289">
        <v>0.11</v>
      </c>
      <c r="AS10" s="236">
        <v>0.51900000000000002</v>
      </c>
      <c r="AT10" s="287">
        <v>0.17899999999999999</v>
      </c>
      <c r="AU10" s="288">
        <v>0.1</v>
      </c>
      <c r="AV10" s="288">
        <v>0.122692</v>
      </c>
      <c r="AW10" s="289">
        <v>0.127308</v>
      </c>
      <c r="AX10" s="237">
        <v>0.443</v>
      </c>
      <c r="AY10" s="287">
        <v>0.15300000000000002</v>
      </c>
      <c r="AZ10" s="288">
        <v>0.08</v>
      </c>
      <c r="BA10" s="288">
        <v>0.09</v>
      </c>
      <c r="BB10" s="289">
        <v>0.13</v>
      </c>
      <c r="BC10" s="273">
        <v>0.495</v>
      </c>
      <c r="BD10" s="287">
        <v>0.16199999999999998</v>
      </c>
      <c r="BE10" s="288">
        <v>9.2000000000000026E-2</v>
      </c>
      <c r="BF10" s="288">
        <v>0.102116</v>
      </c>
      <c r="BG10" s="289">
        <v>0.14000000000000001</v>
      </c>
      <c r="BH10" s="273">
        <v>0.37352601400000002</v>
      </c>
      <c r="BI10" s="287">
        <v>0.10040269900000004</v>
      </c>
      <c r="BJ10" s="288">
        <v>7.0000000000000007E-2</v>
      </c>
      <c r="BK10" s="288">
        <v>0.08</v>
      </c>
      <c r="BL10" s="289">
        <v>0.13</v>
      </c>
      <c r="BM10" s="273">
        <v>0.24</v>
      </c>
      <c r="BN10" s="287">
        <v>0.13</v>
      </c>
      <c r="BO10" s="288">
        <v>0.06</v>
      </c>
      <c r="BP10" s="288">
        <v>0.02</v>
      </c>
      <c r="BQ10" s="289">
        <v>0.03</v>
      </c>
    </row>
    <row r="11" spans="2:69" ht="30" customHeight="1">
      <c r="B11" s="335"/>
      <c r="C11" s="224" t="s">
        <v>39</v>
      </c>
      <c r="D11" s="225" t="s">
        <v>34</v>
      </c>
      <c r="E11" s="385">
        <f t="shared" si="0"/>
        <v>4.71</v>
      </c>
      <c r="F11" s="385"/>
      <c r="G11" s="385"/>
      <c r="H11" s="385"/>
      <c r="I11" s="385">
        <v>4.71</v>
      </c>
      <c r="J11" s="385">
        <f t="shared" si="5"/>
        <v>10.271999999999998</v>
      </c>
      <c r="K11" s="385">
        <v>4.09</v>
      </c>
      <c r="L11" s="385">
        <v>0.55900000000000005</v>
      </c>
      <c r="M11" s="385">
        <v>1.2569999999999999</v>
      </c>
      <c r="N11" s="385">
        <v>4.3659999999999997</v>
      </c>
      <c r="O11" s="385">
        <f t="shared" si="1"/>
        <v>10.347999999999999</v>
      </c>
      <c r="P11" s="385">
        <v>3.62</v>
      </c>
      <c r="Q11" s="404">
        <v>0.51900000000000002</v>
      </c>
      <c r="R11" s="404">
        <v>1.7889999999999999</v>
      </c>
      <c r="S11" s="404">
        <v>4.42</v>
      </c>
      <c r="T11" s="385">
        <f t="shared" si="2"/>
        <v>10.54</v>
      </c>
      <c r="U11" s="385">
        <v>3.63</v>
      </c>
      <c r="V11" s="404">
        <v>0.71</v>
      </c>
      <c r="W11" s="404">
        <v>1.68</v>
      </c>
      <c r="X11" s="385">
        <v>4.5199999999999996</v>
      </c>
      <c r="Y11" s="522">
        <f t="shared" si="3"/>
        <v>12</v>
      </c>
      <c r="Z11" s="404">
        <v>3.99</v>
      </c>
      <c r="AA11" s="404">
        <v>0.79</v>
      </c>
      <c r="AB11" s="522">
        <f>7.22-AC11</f>
        <v>2.0699999999999994</v>
      </c>
      <c r="AC11" s="404">
        <v>5.15</v>
      </c>
      <c r="AD11" s="385">
        <v>11.63</v>
      </c>
      <c r="AE11" s="404">
        <f t="shared" si="4"/>
        <v>4.120000000000001</v>
      </c>
      <c r="AF11" s="404">
        <v>0.82</v>
      </c>
      <c r="AG11" s="404">
        <v>1.73</v>
      </c>
      <c r="AH11" s="490">
        <v>4.96</v>
      </c>
      <c r="AI11" s="486">
        <v>10.85022220980645</v>
      </c>
      <c r="AJ11" s="385">
        <v>3.7053466569999998</v>
      </c>
      <c r="AK11" s="385">
        <v>0.73</v>
      </c>
      <c r="AL11" s="385">
        <v>1.66</v>
      </c>
      <c r="AM11" s="280">
        <v>4.76</v>
      </c>
      <c r="AN11" s="479">
        <v>11.29</v>
      </c>
      <c r="AO11" s="309">
        <v>3.86</v>
      </c>
      <c r="AP11" s="309">
        <v>0.7</v>
      </c>
      <c r="AQ11" s="278">
        <v>1.05</v>
      </c>
      <c r="AR11" s="280">
        <v>5.68</v>
      </c>
      <c r="AS11" s="226">
        <v>12.2</v>
      </c>
      <c r="AT11" s="278">
        <v>4.2899999999999991</v>
      </c>
      <c r="AU11" s="279">
        <v>0.82000000000000028</v>
      </c>
      <c r="AV11" s="279">
        <v>1.8</v>
      </c>
      <c r="AW11" s="280">
        <v>5.3</v>
      </c>
      <c r="AX11" s="226">
        <v>11.52</v>
      </c>
      <c r="AY11" s="278">
        <v>4.5199999999999996</v>
      </c>
      <c r="AZ11" s="279">
        <v>0.57000000000000028</v>
      </c>
      <c r="BA11" s="279">
        <v>1.5899999999999999</v>
      </c>
      <c r="BB11" s="280">
        <v>4.84</v>
      </c>
      <c r="BC11" s="226">
        <v>11.51</v>
      </c>
      <c r="BD11" s="278">
        <v>3.92</v>
      </c>
      <c r="BE11" s="279">
        <v>0.75</v>
      </c>
      <c r="BF11" s="279">
        <v>1.67</v>
      </c>
      <c r="BG11" s="280">
        <v>5.17</v>
      </c>
      <c r="BH11" s="226">
        <v>13.413327984875172</v>
      </c>
      <c r="BI11" s="278">
        <v>4.6377297848751731</v>
      </c>
      <c r="BJ11" s="279">
        <v>0.95</v>
      </c>
      <c r="BK11" s="279">
        <v>1.9</v>
      </c>
      <c r="BL11" s="280">
        <v>5.92</v>
      </c>
      <c r="BM11" s="226">
        <v>15.62</v>
      </c>
      <c r="BN11" s="278">
        <v>5.03</v>
      </c>
      <c r="BO11" s="279">
        <v>1.1599999999999999</v>
      </c>
      <c r="BP11" s="279">
        <v>1.94</v>
      </c>
      <c r="BQ11" s="280">
        <v>7.49</v>
      </c>
    </row>
    <row r="12" spans="2:69" ht="30" customHeight="1">
      <c r="C12" s="224" t="s">
        <v>40</v>
      </c>
      <c r="D12" s="225" t="s">
        <v>3</v>
      </c>
      <c r="E12" s="385">
        <f t="shared" si="0"/>
        <v>13.73</v>
      </c>
      <c r="F12" s="385"/>
      <c r="G12" s="385"/>
      <c r="H12" s="385"/>
      <c r="I12" s="385">
        <v>13.73</v>
      </c>
      <c r="J12" s="385">
        <f t="shared" si="5"/>
        <v>51.67</v>
      </c>
      <c r="K12" s="385">
        <v>13.16</v>
      </c>
      <c r="L12" s="404">
        <v>12.48</v>
      </c>
      <c r="M12" s="385">
        <v>12.38</v>
      </c>
      <c r="N12" s="385">
        <v>13.65</v>
      </c>
      <c r="O12" s="385">
        <f>SUM(P12:S12)</f>
        <v>51.295544999999997</v>
      </c>
      <c r="P12" s="385">
        <v>13.028544999999999</v>
      </c>
      <c r="Q12" s="385">
        <v>12.284000000000001</v>
      </c>
      <c r="R12" s="385">
        <v>12.321</v>
      </c>
      <c r="S12" s="385">
        <v>13.662000000000001</v>
      </c>
      <c r="T12" s="385">
        <f>SUM(U12:X12)-0.001</f>
        <v>53.683999999999997</v>
      </c>
      <c r="U12" s="385">
        <v>13.375</v>
      </c>
      <c r="V12" s="404">
        <v>12.85</v>
      </c>
      <c r="W12" s="404">
        <v>13.2</v>
      </c>
      <c r="X12" s="385">
        <v>14.26</v>
      </c>
      <c r="Y12" s="522">
        <f t="shared" si="3"/>
        <v>53.966575999999996</v>
      </c>
      <c r="Z12" s="404">
        <v>13.91</v>
      </c>
      <c r="AA12" s="522">
        <v>13.299530000000001</v>
      </c>
      <c r="AB12" s="522">
        <v>12.967046</v>
      </c>
      <c r="AC12" s="404">
        <v>13.79</v>
      </c>
      <c r="AD12" s="385">
        <v>50.26</v>
      </c>
      <c r="AE12" s="404">
        <f t="shared" si="4"/>
        <v>13.32</v>
      </c>
      <c r="AF12" s="404">
        <v>12.34</v>
      </c>
      <c r="AG12" s="404">
        <v>11.35</v>
      </c>
      <c r="AH12" s="490">
        <v>13.25</v>
      </c>
      <c r="AI12" s="485">
        <v>51.73</v>
      </c>
      <c r="AJ12" s="404">
        <v>12.99</v>
      </c>
      <c r="AK12" s="385">
        <v>12.66</v>
      </c>
      <c r="AL12" s="385">
        <v>12.54</v>
      </c>
      <c r="AM12" s="280">
        <v>13.54</v>
      </c>
      <c r="AN12" s="479">
        <v>51.97</v>
      </c>
      <c r="AO12" s="309">
        <v>13.13</v>
      </c>
      <c r="AP12" s="309">
        <v>12.83</v>
      </c>
      <c r="AQ12" s="278">
        <v>12.59</v>
      </c>
      <c r="AR12" s="280">
        <v>13.42</v>
      </c>
      <c r="AS12" s="226">
        <v>51.37</v>
      </c>
      <c r="AT12" s="278">
        <v>13.059999999999995</v>
      </c>
      <c r="AU12" s="279">
        <v>12.610000000000003</v>
      </c>
      <c r="AV12" s="279">
        <v>12.4</v>
      </c>
      <c r="AW12" s="280">
        <v>13.31</v>
      </c>
      <c r="AX12" s="226">
        <v>49.68</v>
      </c>
      <c r="AY12" s="278">
        <v>12.86</v>
      </c>
      <c r="AZ12" s="279">
        <v>12.05</v>
      </c>
      <c r="BA12" s="279">
        <v>12.04</v>
      </c>
      <c r="BB12" s="280">
        <v>12.73</v>
      </c>
      <c r="BC12" s="226">
        <v>49.2</v>
      </c>
      <c r="BD12" s="278">
        <v>12.510000000000005</v>
      </c>
      <c r="BE12" s="279">
        <v>12.099999999999998</v>
      </c>
      <c r="BF12" s="279">
        <v>12.09</v>
      </c>
      <c r="BG12" s="280">
        <v>12.5</v>
      </c>
      <c r="BH12" s="226">
        <v>47.904408326400002</v>
      </c>
      <c r="BI12" s="278">
        <v>12.162171326399999</v>
      </c>
      <c r="BJ12" s="279">
        <v>11.86</v>
      </c>
      <c r="BK12" s="279">
        <v>11.63</v>
      </c>
      <c r="BL12" s="280">
        <v>12.25</v>
      </c>
      <c r="BM12" s="226">
        <v>47.9</v>
      </c>
      <c r="BN12" s="278">
        <v>12.18</v>
      </c>
      <c r="BO12" s="279">
        <v>11.74</v>
      </c>
      <c r="BP12" s="279">
        <v>11.56</v>
      </c>
      <c r="BQ12" s="280">
        <v>12.42</v>
      </c>
    </row>
    <row r="13" spans="2:69" ht="30" customHeight="1">
      <c r="C13" s="224" t="s">
        <v>41</v>
      </c>
      <c r="D13" s="225" t="s">
        <v>3</v>
      </c>
      <c r="E13" s="385">
        <f t="shared" si="0"/>
        <v>6.9989999999999997</v>
      </c>
      <c r="F13" s="385"/>
      <c r="G13" s="385"/>
      <c r="H13" s="385"/>
      <c r="I13" s="385">
        <v>6.9989999999999997</v>
      </c>
      <c r="J13" s="385">
        <f t="shared" si="5"/>
        <v>26.706000000000003</v>
      </c>
      <c r="K13" s="385">
        <v>7.0339999999999998</v>
      </c>
      <c r="L13" s="404">
        <v>6.1390000000000002</v>
      </c>
      <c r="M13" s="385">
        <v>6.1310000000000002</v>
      </c>
      <c r="N13" s="385">
        <v>7.4020000000000001</v>
      </c>
      <c r="O13" s="385">
        <f t="shared" si="1"/>
        <v>30.745000000000001</v>
      </c>
      <c r="P13" s="385">
        <f>-0.02+8.31</f>
        <v>8.2900000000000009</v>
      </c>
      <c r="Q13" s="385">
        <v>7.0519999999999996</v>
      </c>
      <c r="R13" s="385">
        <v>7.0369999999999999</v>
      </c>
      <c r="S13" s="385">
        <v>8.3659999999999997</v>
      </c>
      <c r="T13" s="385">
        <f t="shared" si="2"/>
        <v>31.141999999999999</v>
      </c>
      <c r="U13" s="385">
        <v>8.0619999999999994</v>
      </c>
      <c r="V13" s="404">
        <v>7.12</v>
      </c>
      <c r="W13" s="404">
        <v>7.53</v>
      </c>
      <c r="X13" s="385">
        <v>8.43</v>
      </c>
      <c r="Y13" s="522">
        <f t="shared" si="3"/>
        <v>33.408999999999999</v>
      </c>
      <c r="Z13" s="385">
        <v>8.8889999999999993</v>
      </c>
      <c r="AA13" s="404">
        <v>7.89</v>
      </c>
      <c r="AB13" s="522">
        <f>16.63-AC13</f>
        <v>7.8599999999999994</v>
      </c>
      <c r="AC13" s="404">
        <v>8.77</v>
      </c>
      <c r="AD13" s="385">
        <v>32.43</v>
      </c>
      <c r="AE13" s="404">
        <f t="shared" si="4"/>
        <v>8.7199999999999989</v>
      </c>
      <c r="AF13" s="404">
        <v>7.72</v>
      </c>
      <c r="AG13" s="404">
        <v>7.13</v>
      </c>
      <c r="AH13" s="490">
        <v>8.86</v>
      </c>
      <c r="AI13" s="485">
        <v>33.729999999999997</v>
      </c>
      <c r="AJ13" s="404">
        <v>8.7100000000000009</v>
      </c>
      <c r="AK13" s="385">
        <v>8</v>
      </c>
      <c r="AL13" s="385">
        <v>8.1</v>
      </c>
      <c r="AM13" s="280">
        <v>8.93</v>
      </c>
      <c r="AN13" s="479">
        <v>34.520000000000003</v>
      </c>
      <c r="AO13" s="309">
        <v>9.15</v>
      </c>
      <c r="AP13" s="309">
        <v>8.17</v>
      </c>
      <c r="AQ13" s="278">
        <v>7.93</v>
      </c>
      <c r="AR13" s="280">
        <v>9.2781699999999994</v>
      </c>
      <c r="AS13" s="226">
        <v>34.94</v>
      </c>
      <c r="AT13" s="278">
        <v>9.39</v>
      </c>
      <c r="AU13" s="279">
        <v>8.3499999999999979</v>
      </c>
      <c r="AV13" s="279">
        <v>8.08</v>
      </c>
      <c r="AW13" s="280">
        <v>9.1199999999999992</v>
      </c>
      <c r="AX13" s="226">
        <v>32.04</v>
      </c>
      <c r="AY13" s="278">
        <v>8.8499999999999979</v>
      </c>
      <c r="AZ13" s="279">
        <v>7.6100000000000012</v>
      </c>
      <c r="BA13" s="279">
        <v>7.2200000000000006</v>
      </c>
      <c r="BB13" s="280">
        <v>8.3699999999999992</v>
      </c>
      <c r="BC13" s="226">
        <v>35.94</v>
      </c>
      <c r="BD13" s="278">
        <v>9.48</v>
      </c>
      <c r="BE13" s="279">
        <v>8.43</v>
      </c>
      <c r="BF13" s="279">
        <v>8.58</v>
      </c>
      <c r="BG13" s="280">
        <v>9.0500000000000007</v>
      </c>
      <c r="BH13" s="226">
        <v>36.433367670000003</v>
      </c>
      <c r="BI13" s="278">
        <v>9.6566086700000042</v>
      </c>
      <c r="BJ13" s="279">
        <v>8.58</v>
      </c>
      <c r="BK13" s="279">
        <v>8.5399999999999991</v>
      </c>
      <c r="BL13" s="280">
        <v>10.17</v>
      </c>
      <c r="BM13" s="226">
        <v>41.3</v>
      </c>
      <c r="BN13" s="278">
        <v>10.59</v>
      </c>
      <c r="BO13" s="279">
        <v>9.85</v>
      </c>
      <c r="BP13" s="279">
        <v>9.92</v>
      </c>
      <c r="BQ13" s="280">
        <v>10.94</v>
      </c>
    </row>
    <row r="14" spans="2:69" ht="30" customHeight="1">
      <c r="C14" s="224" t="s">
        <v>42</v>
      </c>
      <c r="D14" s="225" t="s">
        <v>45</v>
      </c>
      <c r="E14" s="512" cm="1">
        <f t="array" aca="1" ref="E14" ca="1">INDIRECT(ADDRESS(14,MATCH(E4,$A$4:BB4,0)+5-COUNTA(F14:I14)))</f>
        <v>5999</v>
      </c>
      <c r="F14" s="512"/>
      <c r="G14" s="512"/>
      <c r="H14" s="512"/>
      <c r="I14" s="512">
        <v>5999</v>
      </c>
      <c r="J14" s="512" cm="1">
        <f t="array" aca="1" ref="J14" ca="1">INDIRECT(ADDRESS(14,MATCH(J4,$A$4:BG4,0)+5-COUNTA(K14:N14)))</f>
        <v>5982</v>
      </c>
      <c r="K14" s="313">
        <v>5982</v>
      </c>
      <c r="L14" s="313">
        <v>5967</v>
      </c>
      <c r="M14" s="313">
        <v>5951</v>
      </c>
      <c r="N14" s="313">
        <v>5941</v>
      </c>
      <c r="O14" s="313" cm="1">
        <f t="array" aca="1" ref="O14" ca="1">INDIRECT(ADDRESS(14,MATCH(O4,$A$4:BG4,0)+5-COUNTA(P14:S14)))</f>
        <v>5925.0079999999998</v>
      </c>
      <c r="P14" s="512">
        <v>5925.0079999999998</v>
      </c>
      <c r="Q14" s="506">
        <v>5912</v>
      </c>
      <c r="R14" s="506">
        <v>5893</v>
      </c>
      <c r="S14" s="506">
        <v>5869</v>
      </c>
      <c r="T14" s="512" cm="1">
        <f t="array" aca="1" ref="T14" ca="1">INDIRECT(ADDRESS(14,MATCH(T4,$A$4:BL4,0)+5-COUNTA(U14:X14)))</f>
        <v>5836</v>
      </c>
      <c r="U14" s="506">
        <v>5836</v>
      </c>
      <c r="V14" s="506">
        <v>5819</v>
      </c>
      <c r="W14" s="506">
        <v>5806</v>
      </c>
      <c r="X14" s="309">
        <v>5793</v>
      </c>
      <c r="Y14" s="512" cm="1">
        <f t="array" aca="1" ref="Y14" ca="1">INDIRECT(ADDRESS(14,MATCH(Y4,$A$4:BQ4,0)+5-COUNTA(Z14:AC14)))</f>
        <v>5777</v>
      </c>
      <c r="Z14" s="506">
        <v>5777</v>
      </c>
      <c r="AA14" s="506">
        <v>5757</v>
      </c>
      <c r="AB14" s="512">
        <v>5740.5829999999996</v>
      </c>
      <c r="AC14" s="506">
        <v>5728</v>
      </c>
      <c r="AD14" s="512">
        <v>5715</v>
      </c>
      <c r="AE14" s="506">
        <v>5715</v>
      </c>
      <c r="AF14" s="506">
        <v>5693</v>
      </c>
      <c r="AG14" s="506">
        <v>5693</v>
      </c>
      <c r="AH14" s="494">
        <v>5675</v>
      </c>
      <c r="AI14" s="483">
        <v>5650.8819999999996</v>
      </c>
      <c r="AJ14" s="313">
        <v>5650.8819999999996</v>
      </c>
      <c r="AK14" s="313">
        <v>5644</v>
      </c>
      <c r="AL14" s="313">
        <v>5627</v>
      </c>
      <c r="AM14" s="313">
        <v>5612</v>
      </c>
      <c r="AN14" s="483">
        <v>5598</v>
      </c>
      <c r="AO14" s="313">
        <v>5598</v>
      </c>
      <c r="AP14" s="313">
        <v>5579</v>
      </c>
      <c r="AQ14" s="300">
        <v>5563</v>
      </c>
      <c r="AR14" s="302">
        <v>5546</v>
      </c>
      <c r="AS14" s="238">
        <v>5532.6809999999996</v>
      </c>
      <c r="AT14" s="300">
        <v>5532.6809999999996</v>
      </c>
      <c r="AU14" s="301">
        <v>5517</v>
      </c>
      <c r="AV14" s="301">
        <v>5501</v>
      </c>
      <c r="AW14" s="302">
        <v>5487.4</v>
      </c>
      <c r="AX14" s="238">
        <v>5473.9970000000003</v>
      </c>
      <c r="AY14" s="300">
        <v>5473.9970000000003</v>
      </c>
      <c r="AZ14" s="301">
        <v>5458</v>
      </c>
      <c r="BA14" s="301">
        <v>5446</v>
      </c>
      <c r="BB14" s="302">
        <v>5431</v>
      </c>
      <c r="BC14" s="238">
        <v>5418</v>
      </c>
      <c r="BD14" s="300">
        <v>5418</v>
      </c>
      <c r="BE14" s="301">
        <v>5404</v>
      </c>
      <c r="BF14" s="301">
        <v>5392</v>
      </c>
      <c r="BG14" s="302">
        <v>5383</v>
      </c>
      <c r="BH14" s="238">
        <v>5377.7340000000004</v>
      </c>
      <c r="BI14" s="300">
        <v>5377.7340000000004</v>
      </c>
      <c r="BJ14" s="290">
        <v>5369</v>
      </c>
      <c r="BK14" s="290">
        <v>5359</v>
      </c>
      <c r="BL14" s="291">
        <v>5354</v>
      </c>
      <c r="BM14" s="238">
        <v>5334</v>
      </c>
      <c r="BN14" s="300">
        <v>5334</v>
      </c>
      <c r="BO14" s="290">
        <v>5324</v>
      </c>
      <c r="BP14" s="290">
        <v>5313</v>
      </c>
      <c r="BQ14" s="291">
        <v>5307</v>
      </c>
    </row>
    <row r="15" spans="2:69" ht="34.5" customHeight="1">
      <c r="C15" s="220" t="s">
        <v>323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495"/>
      <c r="AI15" s="484"/>
      <c r="AJ15" s="210"/>
      <c r="AK15" s="215"/>
      <c r="AL15" s="215"/>
      <c r="AM15" s="215"/>
      <c r="AN15" s="484"/>
      <c r="AO15" s="210"/>
      <c r="AP15" s="215"/>
      <c r="AQ15" s="215"/>
      <c r="AR15" s="215"/>
      <c r="AS15" s="214"/>
      <c r="AT15" s="215"/>
      <c r="AU15" s="215"/>
      <c r="AV15" s="211"/>
      <c r="AW15" s="213"/>
      <c r="AX15" s="214"/>
      <c r="AY15" s="215"/>
      <c r="AZ15" s="215"/>
      <c r="BA15" s="211"/>
      <c r="BB15" s="213"/>
      <c r="BC15" s="212"/>
      <c r="BD15" s="215"/>
      <c r="BE15" s="215"/>
      <c r="BF15" s="211"/>
      <c r="BG15" s="213"/>
      <c r="BH15" s="214"/>
      <c r="BI15" s="212"/>
      <c r="BJ15" s="212"/>
      <c r="BK15" s="217"/>
      <c r="BL15" s="218"/>
      <c r="BM15" s="246"/>
      <c r="BN15" s="219"/>
      <c r="BO15" s="219"/>
      <c r="BP15" s="217"/>
      <c r="BQ15" s="218"/>
    </row>
    <row r="16" spans="2:69" ht="36" customHeight="1">
      <c r="C16" s="239"/>
      <c r="D16" s="239"/>
      <c r="E16" s="384">
        <v>2025</v>
      </c>
      <c r="F16" s="384" t="s">
        <v>956</v>
      </c>
      <c r="G16" s="384" t="s">
        <v>957</v>
      </c>
      <c r="H16" s="384" t="s">
        <v>958</v>
      </c>
      <c r="I16" s="384" t="s">
        <v>959</v>
      </c>
      <c r="J16" s="384">
        <v>2024</v>
      </c>
      <c r="K16" s="384" t="s">
        <v>857</v>
      </c>
      <c r="L16" s="384" t="s">
        <v>856</v>
      </c>
      <c r="M16" s="384" t="s">
        <v>855</v>
      </c>
      <c r="N16" s="384" t="s">
        <v>789</v>
      </c>
      <c r="O16" s="384">
        <v>2023</v>
      </c>
      <c r="P16" s="384" t="s">
        <v>790</v>
      </c>
      <c r="Q16" s="384" t="s">
        <v>791</v>
      </c>
      <c r="R16" s="384" t="s">
        <v>792</v>
      </c>
      <c r="S16" s="384" t="s">
        <v>789</v>
      </c>
      <c r="T16" s="384">
        <v>2022</v>
      </c>
      <c r="U16" s="384" t="s">
        <v>715</v>
      </c>
      <c r="V16" s="384" t="s">
        <v>714</v>
      </c>
      <c r="W16" s="384" t="s">
        <v>713</v>
      </c>
      <c r="X16" s="384" t="str">
        <f t="shared" ref="X16:AC16" si="10">X4</f>
        <v>Q1 2022</v>
      </c>
      <c r="Y16" s="384">
        <f t="shared" si="10"/>
        <v>2021</v>
      </c>
      <c r="Z16" s="384" t="str">
        <f t="shared" si="10"/>
        <v>Q4 2021</v>
      </c>
      <c r="AA16" s="384" t="str">
        <f t="shared" si="10"/>
        <v>Q3 2021</v>
      </c>
      <c r="AB16" s="384" t="str">
        <f t="shared" si="10"/>
        <v xml:space="preserve"> Q2 2021</v>
      </c>
      <c r="AC16" s="384" t="str">
        <f t="shared" si="10"/>
        <v xml:space="preserve"> Q1 2021</v>
      </c>
      <c r="AD16" s="384">
        <v>2020</v>
      </c>
      <c r="AE16" s="384" t="s">
        <v>613</v>
      </c>
      <c r="AF16" s="384" t="str">
        <f>AF4</f>
        <v>Q3 2020</v>
      </c>
      <c r="AG16" s="277" t="s">
        <v>583</v>
      </c>
      <c r="AH16" s="277" t="s">
        <v>576</v>
      </c>
      <c r="AI16" s="240">
        <v>2019</v>
      </c>
      <c r="AJ16" s="384" t="s">
        <v>565</v>
      </c>
      <c r="AK16" s="384" t="s">
        <v>551</v>
      </c>
      <c r="AL16" s="384" t="s">
        <v>537</v>
      </c>
      <c r="AM16" s="277" t="s">
        <v>528</v>
      </c>
      <c r="AN16" s="240">
        <v>2018</v>
      </c>
      <c r="AO16" s="308" t="s">
        <v>515</v>
      </c>
      <c r="AP16" s="308" t="s">
        <v>500</v>
      </c>
      <c r="AQ16" s="274" t="s">
        <v>456</v>
      </c>
      <c r="AR16" s="277" t="s">
        <v>438</v>
      </c>
      <c r="AS16" s="240">
        <v>2017</v>
      </c>
      <c r="AT16" s="274" t="s">
        <v>439</v>
      </c>
      <c r="AU16" s="275" t="s">
        <v>440</v>
      </c>
      <c r="AV16" s="276" t="s">
        <v>441</v>
      </c>
      <c r="AW16" s="277" t="s">
        <v>442</v>
      </c>
      <c r="AX16" s="240">
        <v>2016</v>
      </c>
      <c r="AY16" s="274" t="s">
        <v>443</v>
      </c>
      <c r="AZ16" s="275" t="s">
        <v>444</v>
      </c>
      <c r="BA16" s="276" t="s">
        <v>445</v>
      </c>
      <c r="BB16" s="277" t="s">
        <v>446</v>
      </c>
      <c r="BC16" s="240">
        <v>2015</v>
      </c>
      <c r="BD16" s="274" t="s">
        <v>447</v>
      </c>
      <c r="BE16" s="275" t="s">
        <v>326</v>
      </c>
      <c r="BF16" s="276" t="s">
        <v>448</v>
      </c>
      <c r="BG16" s="277" t="s">
        <v>449</v>
      </c>
      <c r="BH16" s="240">
        <v>2014</v>
      </c>
      <c r="BI16" s="274" t="s">
        <v>450</v>
      </c>
      <c r="BJ16" s="275" t="s">
        <v>292</v>
      </c>
      <c r="BK16" s="276" t="s">
        <v>451</v>
      </c>
      <c r="BL16" s="277" t="s">
        <v>452</v>
      </c>
      <c r="BM16" s="240">
        <v>2013</v>
      </c>
      <c r="BN16" s="274" t="s">
        <v>453</v>
      </c>
      <c r="BO16" s="275" t="s">
        <v>454</v>
      </c>
      <c r="BP16" s="276" t="s">
        <v>295</v>
      </c>
      <c r="BQ16" s="277" t="s">
        <v>455</v>
      </c>
    </row>
    <row r="17" spans="3:69" ht="39" customHeight="1">
      <c r="C17" s="227" t="s">
        <v>43</v>
      </c>
      <c r="D17" s="228" t="s">
        <v>46</v>
      </c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386">
        <f t="shared" ref="T17:T19" si="11">SUM(U17:X17)</f>
        <v>3.97</v>
      </c>
      <c r="U17" s="386">
        <v>0.505</v>
      </c>
      <c r="V17" s="386">
        <v>0.7</v>
      </c>
      <c r="W17" s="386">
        <v>1.27</v>
      </c>
      <c r="X17" s="386">
        <v>1.4950000000000001</v>
      </c>
      <c r="Y17" s="503">
        <f t="shared" ref="Y17:Y19" si="12">SUM(Z17:AC17)</f>
        <v>5.48</v>
      </c>
      <c r="Z17" s="503">
        <v>1.49</v>
      </c>
      <c r="AA17" s="503">
        <v>1.64</v>
      </c>
      <c r="AB17" s="503">
        <f>2.35-AC17</f>
        <v>1.1100000000000001</v>
      </c>
      <c r="AC17" s="503">
        <v>1.24</v>
      </c>
      <c r="AD17" s="503">
        <v>4.08</v>
      </c>
      <c r="AE17" s="404">
        <f t="shared" ref="AE17:AE19" si="13">AD17-SUM(AF17:AH17)</f>
        <v>1.1099999999999999</v>
      </c>
      <c r="AF17" s="503">
        <v>1.0900000000000001</v>
      </c>
      <c r="AG17" s="503">
        <v>0.99</v>
      </c>
      <c r="AH17" s="496">
        <v>0.89</v>
      </c>
      <c r="AI17" s="487">
        <v>3.8</v>
      </c>
      <c r="AJ17" s="386">
        <v>0.83999999999999986</v>
      </c>
      <c r="AK17" s="389">
        <v>0.78</v>
      </c>
      <c r="AL17" s="389">
        <v>0.99</v>
      </c>
      <c r="AM17" s="303">
        <v>1.2</v>
      </c>
      <c r="AN17" s="480">
        <v>4.87</v>
      </c>
      <c r="AO17" s="332">
        <v>1.33</v>
      </c>
      <c r="AP17" s="314">
        <v>1.04</v>
      </c>
      <c r="AQ17" s="294">
        <v>1.07</v>
      </c>
      <c r="AR17" s="303">
        <v>1.43</v>
      </c>
      <c r="AS17" s="241">
        <f t="shared" ref="AS17" si="14">SUM(AS18:AS19)</f>
        <v>6.7715999999999994</v>
      </c>
      <c r="AT17" s="294">
        <v>1.7615999999999996</v>
      </c>
      <c r="AU17" s="295">
        <v>1.4499999999999997</v>
      </c>
      <c r="AV17" s="295">
        <v>1.77</v>
      </c>
      <c r="AW17" s="303">
        <v>1.79</v>
      </c>
      <c r="AX17" s="241">
        <f t="shared" ref="AX17" si="15">SUM(AX18:AX19)</f>
        <v>6.0625</v>
      </c>
      <c r="AY17" s="294">
        <v>1.9625000000000004</v>
      </c>
      <c r="AZ17" s="295">
        <v>1.6399999999999997</v>
      </c>
      <c r="BA17" s="295">
        <v>1.24</v>
      </c>
      <c r="BB17" s="303">
        <v>1.22</v>
      </c>
      <c r="BC17" s="241">
        <v>5.0860000000000003</v>
      </c>
      <c r="BD17" s="294">
        <v>1.4260000000000002</v>
      </c>
      <c r="BE17" s="295">
        <v>1.37</v>
      </c>
      <c r="BF17" s="295">
        <v>1.1500000000000001</v>
      </c>
      <c r="BG17" s="303">
        <v>1.1399999999999999</v>
      </c>
      <c r="BH17" s="241">
        <v>4.8798987900000004</v>
      </c>
      <c r="BI17" s="294">
        <v>1.3474747900000006</v>
      </c>
      <c r="BJ17" s="295">
        <v>1.34</v>
      </c>
      <c r="BK17" s="282">
        <v>1.18</v>
      </c>
      <c r="BL17" s="283">
        <v>1.01</v>
      </c>
      <c r="BM17" s="229">
        <v>5.48</v>
      </c>
      <c r="BN17" s="281">
        <v>1.2</v>
      </c>
      <c r="BO17" s="282">
        <v>1.33</v>
      </c>
      <c r="BP17" s="282">
        <v>1.45</v>
      </c>
      <c r="BQ17" s="283">
        <v>1.51</v>
      </c>
    </row>
    <row r="18" spans="3:69" ht="36.75" customHeight="1">
      <c r="C18" s="242" t="s">
        <v>362</v>
      </c>
      <c r="D18" s="231" t="s">
        <v>46</v>
      </c>
      <c r="E18" s="504"/>
      <c r="F18" s="504"/>
      <c r="G18" s="504"/>
      <c r="H18" s="504"/>
      <c r="I18" s="504"/>
      <c r="J18" s="504"/>
      <c r="K18" s="504"/>
      <c r="L18" s="504"/>
      <c r="M18" s="504"/>
      <c r="N18" s="504"/>
      <c r="O18" s="504"/>
      <c r="P18" s="504"/>
      <c r="Q18" s="504"/>
      <c r="R18" s="504"/>
      <c r="S18" s="504"/>
      <c r="T18" s="387">
        <f t="shared" si="11"/>
        <v>2.7</v>
      </c>
      <c r="U18" s="387">
        <v>0.33600000000000002</v>
      </c>
      <c r="V18" s="387">
        <v>0.51800000000000002</v>
      </c>
      <c r="W18" s="387">
        <v>0.86299999999999999</v>
      </c>
      <c r="X18" s="387">
        <v>0.98299999999999998</v>
      </c>
      <c r="Y18" s="387">
        <f t="shared" si="12"/>
        <v>3.6080000000000001</v>
      </c>
      <c r="Z18" s="504">
        <v>0.83</v>
      </c>
      <c r="AA18" s="387">
        <f>2.778-SUM(AB18:AC18)</f>
        <v>1.0880000000000001</v>
      </c>
      <c r="AB18" s="504">
        <f>1.69-AC18</f>
        <v>0.73</v>
      </c>
      <c r="AC18" s="504">
        <v>0.96</v>
      </c>
      <c r="AD18" s="504">
        <v>3.27</v>
      </c>
      <c r="AE18" s="404">
        <f t="shared" si="13"/>
        <v>0.9700000000000002</v>
      </c>
      <c r="AF18" s="504">
        <f>2.3-1.47</f>
        <v>0.82999999999999985</v>
      </c>
      <c r="AG18" s="504">
        <f>1.47-0.74</f>
        <v>0.73</v>
      </c>
      <c r="AH18" s="497">
        <v>0.74</v>
      </c>
      <c r="AI18" s="488">
        <v>3</v>
      </c>
      <c r="AJ18" s="387">
        <v>0.62000000000000011</v>
      </c>
      <c r="AK18" s="390">
        <v>0.63</v>
      </c>
      <c r="AL18" s="390">
        <v>0.82</v>
      </c>
      <c r="AM18" s="304">
        <v>0.93</v>
      </c>
      <c r="AN18" s="481">
        <v>3.68</v>
      </c>
      <c r="AO18" s="333">
        <v>1.08</v>
      </c>
      <c r="AP18" s="315">
        <v>0.94</v>
      </c>
      <c r="AQ18" s="296">
        <v>0.71</v>
      </c>
      <c r="AR18" s="304">
        <v>0.95</v>
      </c>
      <c r="AS18" s="243">
        <v>4.8895999999999997</v>
      </c>
      <c r="AT18" s="296">
        <v>1.4845999999999999</v>
      </c>
      <c r="AU18" s="297">
        <v>1.18</v>
      </c>
      <c r="AV18" s="297">
        <v>1.1200000000000001</v>
      </c>
      <c r="AW18" s="304">
        <v>1.29</v>
      </c>
      <c r="AX18" s="243">
        <v>4.657</v>
      </c>
      <c r="AY18" s="296">
        <v>1.4790000000000001</v>
      </c>
      <c r="AZ18" s="297">
        <v>1.278</v>
      </c>
      <c r="BA18" s="297">
        <v>0.91799999999999993</v>
      </c>
      <c r="BB18" s="304">
        <v>0.98199999999999998</v>
      </c>
      <c r="BC18" s="243">
        <v>3.76</v>
      </c>
      <c r="BD18" s="296">
        <v>1.0699999999999998</v>
      </c>
      <c r="BE18" s="297">
        <v>0.98</v>
      </c>
      <c r="BF18" s="297">
        <v>0.876</v>
      </c>
      <c r="BG18" s="304">
        <v>0.83</v>
      </c>
      <c r="BH18" s="243">
        <v>3.5229002200000004</v>
      </c>
      <c r="BI18" s="296">
        <v>0.99129805000000015</v>
      </c>
      <c r="BJ18" s="297">
        <v>0.93</v>
      </c>
      <c r="BK18" s="285">
        <v>0.88</v>
      </c>
      <c r="BL18" s="286">
        <v>0.72</v>
      </c>
      <c r="BM18" s="272">
        <v>3.67</v>
      </c>
      <c r="BN18" s="284">
        <v>0.79</v>
      </c>
      <c r="BO18" s="285">
        <v>0.83</v>
      </c>
      <c r="BP18" s="285">
        <v>0.94</v>
      </c>
      <c r="BQ18" s="292">
        <v>1.1100000000000001</v>
      </c>
    </row>
    <row r="19" spans="3:69" ht="37.5" customHeight="1">
      <c r="C19" s="244" t="s">
        <v>361</v>
      </c>
      <c r="D19" s="235" t="s">
        <v>46</v>
      </c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388">
        <f t="shared" si="11"/>
        <v>1.2757999999999998</v>
      </c>
      <c r="U19" s="388">
        <v>0.16880000000000001</v>
      </c>
      <c r="V19" s="388">
        <v>0.184</v>
      </c>
      <c r="W19" s="388">
        <v>0.41</v>
      </c>
      <c r="X19" s="388">
        <v>0.51300000000000001</v>
      </c>
      <c r="Y19" s="388">
        <f t="shared" si="12"/>
        <v>1.859</v>
      </c>
      <c r="Z19" s="505">
        <v>0.65</v>
      </c>
      <c r="AA19" s="388">
        <f>1.209-SUM(AB19:AC19)</f>
        <v>0.54899999999999993</v>
      </c>
      <c r="AB19" s="505">
        <f>AB17-AB18</f>
        <v>0.38000000000000012</v>
      </c>
      <c r="AC19" s="505">
        <v>0.28000000000000003</v>
      </c>
      <c r="AD19" s="505">
        <v>0.81</v>
      </c>
      <c r="AE19" s="404">
        <f t="shared" si="13"/>
        <v>0.13999999999999979</v>
      </c>
      <c r="AF19" s="505">
        <f t="shared" ref="AF19" si="16">AF17-AF18</f>
        <v>0.26000000000000023</v>
      </c>
      <c r="AG19" s="505">
        <f>AG17-AG18</f>
        <v>0.26</v>
      </c>
      <c r="AH19" s="498">
        <v>0.15</v>
      </c>
      <c r="AI19" s="489">
        <v>0.79999999999999982</v>
      </c>
      <c r="AJ19" s="388">
        <v>0.21999999999999975</v>
      </c>
      <c r="AK19" s="391">
        <v>0.14000000000000001</v>
      </c>
      <c r="AL19" s="391">
        <v>0.17000000000000004</v>
      </c>
      <c r="AM19" s="305">
        <v>0.27</v>
      </c>
      <c r="AN19" s="482">
        <v>1.19</v>
      </c>
      <c r="AO19" s="334">
        <v>0.25</v>
      </c>
      <c r="AP19" s="316">
        <v>0.1</v>
      </c>
      <c r="AQ19" s="298">
        <v>0.36</v>
      </c>
      <c r="AR19" s="305">
        <v>0.48</v>
      </c>
      <c r="AS19" s="245">
        <v>1.8819999999999999</v>
      </c>
      <c r="AT19" s="298">
        <v>0.27699999999999991</v>
      </c>
      <c r="AU19" s="299">
        <v>0.27</v>
      </c>
      <c r="AV19" s="299">
        <v>0.64999999999999991</v>
      </c>
      <c r="AW19" s="305">
        <v>0.5</v>
      </c>
      <c r="AX19" s="245">
        <v>1.4055</v>
      </c>
      <c r="AY19" s="298">
        <v>0.48350000000000026</v>
      </c>
      <c r="AZ19" s="299">
        <v>0.36199999999999966</v>
      </c>
      <c r="BA19" s="299">
        <v>0.32200000000000006</v>
      </c>
      <c r="BB19" s="305">
        <v>0.23799999999999999</v>
      </c>
      <c r="BC19" s="245">
        <v>1.3260000000000001</v>
      </c>
      <c r="BD19" s="298">
        <v>0.35600000000000009</v>
      </c>
      <c r="BE19" s="299">
        <v>0.3899999999999999</v>
      </c>
      <c r="BF19" s="299">
        <v>0.27400000000000008</v>
      </c>
      <c r="BG19" s="305">
        <v>0.30999999999999994</v>
      </c>
      <c r="BH19" s="245">
        <v>1.3569985699999998</v>
      </c>
      <c r="BI19" s="298">
        <v>0.35617672999999983</v>
      </c>
      <c r="BJ19" s="299">
        <v>0.42</v>
      </c>
      <c r="BK19" s="288">
        <v>0.3</v>
      </c>
      <c r="BL19" s="289">
        <v>0.28999999999999998</v>
      </c>
      <c r="BM19" s="273">
        <v>1.81</v>
      </c>
      <c r="BN19" s="287">
        <v>0.41</v>
      </c>
      <c r="BO19" s="288">
        <v>0.5</v>
      </c>
      <c r="BP19" s="288">
        <v>0.51</v>
      </c>
      <c r="BQ19" s="293">
        <v>0.4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workbookViewId="0">
      <selection activeCell="D10" sqref="D10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6" width="9.28515625" style="10"/>
    <col min="7" max="7" width="9.7109375" style="10" bestFit="1" customWidth="1"/>
    <col min="8" max="16384" width="9.28515625" style="10"/>
  </cols>
  <sheetData>
    <row r="1" spans="1:5" ht="45" customHeight="1">
      <c r="A1" s="18" t="s">
        <v>328</v>
      </c>
      <c r="B1" s="19"/>
      <c r="C1" s="20"/>
      <c r="D1" s="57"/>
      <c r="E1" s="5"/>
    </row>
    <row r="2" spans="1:5" ht="45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726</v>
      </c>
      <c r="B3" s="23" t="s">
        <v>66</v>
      </c>
      <c r="C3" s="24">
        <f>C4+C5+C6</f>
        <v>1534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1345</v>
      </c>
      <c r="D5" s="326"/>
    </row>
    <row r="6" spans="1:5">
      <c r="A6" s="518" t="s">
        <v>4</v>
      </c>
      <c r="B6" s="519"/>
      <c r="C6" s="520">
        <v>49</v>
      </c>
      <c r="D6" s="521"/>
    </row>
    <row r="7" spans="1:5">
      <c r="A7" s="23" t="s">
        <v>5</v>
      </c>
      <c r="B7" s="23" t="s">
        <v>66</v>
      </c>
      <c r="C7" s="209">
        <f>C8+C9</f>
        <v>905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905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19"/>
      <c r="C12" s="26">
        <v>460</v>
      </c>
      <c r="D12" s="326"/>
    </row>
    <row r="13" spans="1:5">
      <c r="A13" s="30" t="s">
        <v>779</v>
      </c>
      <c r="B13" s="23"/>
      <c r="C13" s="24">
        <f>C14</f>
        <v>910</v>
      </c>
      <c r="D13" s="325"/>
    </row>
    <row r="14" spans="1:5">
      <c r="A14" s="25" t="s">
        <v>780</v>
      </c>
      <c r="B14" s="519"/>
      <c r="C14" s="26">
        <v>910</v>
      </c>
      <c r="D14" s="326"/>
    </row>
    <row r="15" spans="1:5">
      <c r="A15" s="30" t="s">
        <v>7</v>
      </c>
      <c r="B15" s="23" t="s">
        <v>66</v>
      </c>
      <c r="C15" s="24">
        <f>C16+C17</f>
        <v>306</v>
      </c>
      <c r="D15" s="325">
        <v>36.5</v>
      </c>
    </row>
    <row r="16" spans="1:5">
      <c r="A16" s="25" t="s">
        <v>64</v>
      </c>
      <c r="B16" s="7"/>
      <c r="C16" s="26">
        <v>306</v>
      </c>
      <c r="D16" s="326"/>
    </row>
    <row r="17" spans="1:8">
      <c r="A17" s="28" t="s">
        <v>65</v>
      </c>
      <c r="B17" s="16"/>
      <c r="C17" s="31">
        <v>0</v>
      </c>
      <c r="D17" s="327"/>
    </row>
    <row r="18" spans="1:8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8">
      <c r="A19" s="34" t="s">
        <v>70</v>
      </c>
      <c r="B19" s="35"/>
      <c r="C19" s="35">
        <v>165</v>
      </c>
      <c r="D19" s="330"/>
    </row>
    <row r="20" spans="1:8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8" ht="15.75">
      <c r="A21" s="25" t="s">
        <v>68</v>
      </c>
      <c r="B21" s="7"/>
      <c r="C21" s="26">
        <v>0</v>
      </c>
      <c r="D21" s="36"/>
    </row>
    <row r="22" spans="1:8">
      <c r="A22" s="25" t="s">
        <v>70</v>
      </c>
      <c r="B22" s="7"/>
      <c r="C22" s="26">
        <v>0</v>
      </c>
      <c r="D22" s="37"/>
    </row>
    <row r="23" spans="1:8" ht="15.75">
      <c r="A23" s="514" t="s">
        <v>69</v>
      </c>
      <c r="B23" s="515"/>
      <c r="C23" s="516">
        <f>55*0</f>
        <v>0</v>
      </c>
      <c r="D23" s="517"/>
    </row>
    <row r="24" spans="1:8" ht="15.75">
      <c r="A24" s="38" t="s">
        <v>31</v>
      </c>
      <c r="B24" s="39"/>
      <c r="C24" s="40">
        <f>C3+C7+C10+C15+C20+C13</f>
        <v>4115</v>
      </c>
      <c r="D24" s="40">
        <f>D3+D7+D10+D15+D20</f>
        <v>923.90000000000009</v>
      </c>
    </row>
    <row r="25" spans="1:8">
      <c r="A25" s="41"/>
      <c r="B25" s="41"/>
      <c r="C25" s="42"/>
      <c r="D25" s="43"/>
    </row>
    <row r="26" spans="1:8">
      <c r="A26" s="44" t="s">
        <v>727</v>
      </c>
      <c r="B26" s="44" t="s">
        <v>72</v>
      </c>
      <c r="C26" s="45">
        <v>40</v>
      </c>
      <c r="D26" s="331">
        <v>250</v>
      </c>
      <c r="H26" s="148"/>
    </row>
    <row r="27" spans="1:8">
      <c r="A27" s="44" t="s">
        <v>30</v>
      </c>
      <c r="B27" s="44" t="s">
        <v>72</v>
      </c>
      <c r="C27" s="45">
        <v>65.540000000000006</v>
      </c>
      <c r="D27" s="331">
        <v>86</v>
      </c>
      <c r="H27" s="148"/>
    </row>
    <row r="28" spans="1:8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  <c r="H28" s="148"/>
    </row>
    <row r="29" spans="1:8">
      <c r="A29" s="48" t="s">
        <v>11</v>
      </c>
      <c r="B29" s="44" t="s">
        <v>72</v>
      </c>
      <c r="C29" s="45">
        <v>135</v>
      </c>
      <c r="D29" s="331">
        <v>334.29</v>
      </c>
      <c r="E29" s="10" t="s">
        <v>728</v>
      </c>
      <c r="H29" s="148"/>
    </row>
    <row r="30" spans="1:8">
      <c r="A30" s="48" t="s">
        <v>12</v>
      </c>
      <c r="B30" s="44" t="s">
        <v>72</v>
      </c>
      <c r="C30" s="45">
        <f>C31+C32</f>
        <v>105.82</v>
      </c>
      <c r="D30" s="331">
        <f>D31+D32</f>
        <v>354.4</v>
      </c>
      <c r="H30" s="148"/>
    </row>
    <row r="31" spans="1:8">
      <c r="A31" s="25" t="s">
        <v>13</v>
      </c>
      <c r="B31" s="7"/>
      <c r="C31" s="49">
        <v>50.82</v>
      </c>
      <c r="D31" s="382">
        <v>182.4</v>
      </c>
      <c r="H31" s="148"/>
    </row>
    <row r="32" spans="1:8">
      <c r="A32" s="25" t="s">
        <v>14</v>
      </c>
      <c r="B32" s="7"/>
      <c r="C32" s="26">
        <v>55</v>
      </c>
      <c r="D32" s="382">
        <v>172</v>
      </c>
      <c r="H32" s="148"/>
    </row>
    <row r="33" spans="1:8">
      <c r="A33" s="44" t="s">
        <v>850</v>
      </c>
      <c r="B33" s="44" t="s">
        <v>72</v>
      </c>
      <c r="C33" s="45">
        <v>4.8</v>
      </c>
      <c r="D33" s="331">
        <v>84</v>
      </c>
      <c r="H33" s="148"/>
    </row>
    <row r="34" spans="1:8" ht="54" customHeight="1">
      <c r="A34" s="222" t="s">
        <v>71</v>
      </c>
      <c r="B34" s="30"/>
      <c r="C34" s="50" t="s">
        <v>15</v>
      </c>
      <c r="D34" s="50">
        <v>147.39750000000001</v>
      </c>
    </row>
    <row r="35" spans="1:8" ht="15.75">
      <c r="A35" s="38" t="s">
        <v>32</v>
      </c>
      <c r="B35" s="39"/>
      <c r="C35" s="40">
        <f>SUM(C26:C30,C33)-C28</f>
        <v>351.16</v>
      </c>
      <c r="D35" s="40">
        <f>SUM(D26:D30,D33)-D28+D34</f>
        <v>1256.0875000000001</v>
      </c>
    </row>
    <row r="36" spans="1:8">
      <c r="A36" s="23"/>
      <c r="B36" s="23"/>
      <c r="C36" s="29"/>
      <c r="D36" s="51"/>
    </row>
    <row r="37" spans="1:8">
      <c r="A37" s="52" t="s">
        <v>629</v>
      </c>
      <c r="B37" s="52"/>
      <c r="C37" s="45">
        <v>5</v>
      </c>
      <c r="D37" s="53"/>
    </row>
    <row r="38" spans="1:8">
      <c r="A38" s="23" t="s">
        <v>826</v>
      </c>
      <c r="B38" s="23"/>
      <c r="C38" s="29">
        <v>37</v>
      </c>
      <c r="D38" s="51"/>
    </row>
    <row r="39" spans="1:8" ht="15.75">
      <c r="A39" s="38" t="s">
        <v>778</v>
      </c>
      <c r="B39" s="39"/>
      <c r="C39" s="40">
        <f>+C38+C37</f>
        <v>42</v>
      </c>
      <c r="D39" s="40"/>
    </row>
    <row r="40" spans="1:8">
      <c r="A40" s="23"/>
      <c r="B40" s="23"/>
      <c r="C40" s="29"/>
      <c r="D40" s="51"/>
    </row>
    <row r="41" spans="1:8">
      <c r="A41" s="52" t="s">
        <v>73</v>
      </c>
      <c r="B41" s="52"/>
      <c r="C41" s="45">
        <v>138.37200000000001</v>
      </c>
      <c r="D41" s="53"/>
    </row>
    <row r="42" spans="1:8">
      <c r="A42" s="48" t="s">
        <v>74</v>
      </c>
      <c r="B42" s="48"/>
      <c r="C42" s="45">
        <f>SUM(C43:C48)</f>
        <v>236.75</v>
      </c>
      <c r="D42" s="53"/>
    </row>
    <row r="43" spans="1:8">
      <c r="A43" s="25" t="s">
        <v>16</v>
      </c>
      <c r="B43" s="7"/>
      <c r="C43" s="26">
        <v>30</v>
      </c>
      <c r="D43" s="26"/>
    </row>
    <row r="44" spans="1:8">
      <c r="A44" s="25" t="s">
        <v>17</v>
      </c>
      <c r="B44" s="7"/>
      <c r="C44" s="49">
        <v>30.75</v>
      </c>
      <c r="D44" s="26"/>
    </row>
    <row r="45" spans="1:8">
      <c r="A45" s="25" t="s">
        <v>18</v>
      </c>
      <c r="B45" s="7"/>
      <c r="C45" s="26">
        <v>100</v>
      </c>
      <c r="D45" s="26"/>
    </row>
    <row r="46" spans="1:8">
      <c r="A46" s="25" t="s">
        <v>798</v>
      </c>
      <c r="B46" s="641"/>
      <c r="C46" s="642">
        <v>30</v>
      </c>
      <c r="D46" s="26"/>
    </row>
    <row r="47" spans="1:8">
      <c r="A47" s="25" t="s">
        <v>19</v>
      </c>
      <c r="B47" s="7"/>
      <c r="C47" s="26">
        <v>40</v>
      </c>
      <c r="D47" s="26"/>
    </row>
    <row r="48" spans="1:8">
      <c r="A48" s="614" t="s">
        <v>775</v>
      </c>
      <c r="B48" s="23"/>
      <c r="C48" s="615">
        <v>6</v>
      </c>
      <c r="D48" s="328"/>
    </row>
    <row r="49" spans="1:7">
      <c r="A49" s="616" t="s">
        <v>774</v>
      </c>
      <c r="B49" s="616"/>
      <c r="C49" s="612">
        <f>SUM(C50)</f>
        <v>12.295999999999999</v>
      </c>
      <c r="D49" s="613"/>
    </row>
    <row r="50" spans="1:7">
      <c r="A50" s="25" t="s">
        <v>800</v>
      </c>
      <c r="B50" s="23"/>
      <c r="C50" s="615">
        <v>12.295999999999999</v>
      </c>
      <c r="D50" s="328"/>
    </row>
    <row r="51" spans="1:7" ht="15.75">
      <c r="A51" s="38" t="s">
        <v>33</v>
      </c>
      <c r="B51" s="39"/>
      <c r="C51" s="40">
        <f>SUM(C41,C42,C49)</f>
        <v>387.41800000000001</v>
      </c>
      <c r="D51" s="54"/>
      <c r="G51" s="594"/>
    </row>
    <row r="52" spans="1:7" ht="15.75">
      <c r="A52" s="55"/>
      <c r="B52" s="55"/>
      <c r="C52" s="5"/>
      <c r="D52" s="5"/>
    </row>
    <row r="53" spans="1:7" ht="15.75">
      <c r="A53" s="38" t="s">
        <v>878</v>
      </c>
      <c r="B53" s="39"/>
      <c r="C53" s="40">
        <f>178+178</f>
        <v>356</v>
      </c>
      <c r="D53" s="54"/>
      <c r="G53" s="593"/>
    </row>
    <row r="54" spans="1:7" ht="15.75">
      <c r="A54" s="652"/>
      <c r="B54" s="653"/>
      <c r="C54" s="654"/>
      <c r="D54" s="655"/>
      <c r="G54" s="593"/>
    </row>
    <row r="55" spans="1:7">
      <c r="A55" s="641" t="s">
        <v>827</v>
      </c>
      <c r="B55" s="641"/>
      <c r="C55" s="643">
        <v>5.2</v>
      </c>
      <c r="D55" s="644">
        <v>5.2</v>
      </c>
    </row>
    <row r="56" spans="1:7" ht="15.75">
      <c r="A56" s="645" t="s">
        <v>828</v>
      </c>
      <c r="B56" s="646"/>
      <c r="C56" s="647">
        <v>5.2</v>
      </c>
      <c r="D56" s="647">
        <v>5</v>
      </c>
    </row>
    <row r="57" spans="1:7" ht="15.75">
      <c r="A57" s="652"/>
      <c r="B57" s="653"/>
      <c r="C57" s="654"/>
      <c r="D57" s="655"/>
      <c r="G57" s="593"/>
    </row>
    <row r="58" spans="1:7" ht="15.75">
      <c r="A58" s="38" t="s">
        <v>329</v>
      </c>
      <c r="B58" s="39"/>
      <c r="C58" s="40">
        <f>C24+C35+C51+C53+C39+C56</f>
        <v>5256.7779999999993</v>
      </c>
      <c r="D58" s="40">
        <f>D24+D35+D51+D53+D39+D56</f>
        <v>2184.9875000000002</v>
      </c>
    </row>
    <row r="60" spans="1:7">
      <c r="A60" s="56" t="s">
        <v>75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>
    <pageSetUpPr fitToPage="1"/>
  </sheetPr>
  <dimension ref="A1:G60"/>
  <sheetViews>
    <sheetView topLeftCell="A32" workbookViewId="0">
      <selection activeCell="F53" sqref="F53:F54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16384" width="9.28515625" style="10"/>
  </cols>
  <sheetData>
    <row r="1" spans="1:5" ht="45" customHeight="1">
      <c r="A1" s="18" t="s">
        <v>328</v>
      </c>
      <c r="B1" s="19"/>
      <c r="C1" s="20"/>
      <c r="D1" s="57"/>
      <c r="E1" s="5"/>
    </row>
    <row r="2" spans="1:5" ht="45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726</v>
      </c>
      <c r="B3" s="23" t="s">
        <v>66</v>
      </c>
      <c r="C3" s="24">
        <f>C4+C5+C6</f>
        <v>1570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1380</v>
      </c>
      <c r="D5" s="326"/>
    </row>
    <row r="6" spans="1:5">
      <c r="A6" s="518" t="s">
        <v>4</v>
      </c>
      <c r="B6" s="519"/>
      <c r="C6" s="520">
        <v>50</v>
      </c>
      <c r="D6" s="521"/>
    </row>
    <row r="7" spans="1:5">
      <c r="A7" s="23" t="s">
        <v>5</v>
      </c>
      <c r="B7" s="23" t="s">
        <v>66</v>
      </c>
      <c r="C7" s="209">
        <f>C8+C9</f>
        <v>920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920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19"/>
      <c r="C12" s="26">
        <v>460</v>
      </c>
      <c r="D12" s="326"/>
    </row>
    <row r="13" spans="1:5">
      <c r="A13" s="30" t="s">
        <v>779</v>
      </c>
      <c r="B13" s="23"/>
      <c r="C13" s="24">
        <v>915</v>
      </c>
      <c r="D13" s="325"/>
    </row>
    <row r="14" spans="1:5">
      <c r="A14" s="25" t="s">
        <v>780</v>
      </c>
      <c r="B14" s="630"/>
      <c r="C14" s="26">
        <v>915</v>
      </c>
      <c r="D14" s="326"/>
    </row>
    <row r="15" spans="1:5">
      <c r="A15" s="30" t="s">
        <v>7</v>
      </c>
      <c r="B15" s="23" t="s">
        <v>66</v>
      </c>
      <c r="C15" s="24">
        <f>C16+C17</f>
        <v>305.39999999999998</v>
      </c>
      <c r="D15" s="325">
        <v>36.5</v>
      </c>
    </row>
    <row r="16" spans="1:5">
      <c r="A16" s="25" t="s">
        <v>64</v>
      </c>
      <c r="B16" s="7"/>
      <c r="C16" s="49">
        <v>305.39999999999998</v>
      </c>
      <c r="D16" s="326"/>
    </row>
    <row r="17" spans="1:5">
      <c r="A17" s="28" t="s">
        <v>65</v>
      </c>
      <c r="B17" s="16"/>
      <c r="C17" s="31">
        <v>0</v>
      </c>
      <c r="D17" s="327"/>
    </row>
    <row r="18" spans="1:5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5">
      <c r="A19" s="34" t="s">
        <v>70</v>
      </c>
      <c r="B19" s="35"/>
      <c r="C19" s="35">
        <v>165</v>
      </c>
      <c r="D19" s="330"/>
    </row>
    <row r="20" spans="1:5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5" ht="15.75">
      <c r="A21" s="25" t="s">
        <v>68</v>
      </c>
      <c r="B21" s="7"/>
      <c r="C21" s="26">
        <v>0</v>
      </c>
      <c r="D21" s="36"/>
    </row>
    <row r="22" spans="1:5">
      <c r="A22" s="25" t="s">
        <v>70</v>
      </c>
      <c r="B22" s="7"/>
      <c r="C22" s="26">
        <v>0</v>
      </c>
      <c r="D22" s="37"/>
    </row>
    <row r="23" spans="1:5" ht="15.75">
      <c r="A23" s="514" t="s">
        <v>69</v>
      </c>
      <c r="B23" s="515"/>
      <c r="C23" s="516">
        <f>55*0</f>
        <v>0</v>
      </c>
      <c r="D23" s="517"/>
    </row>
    <row r="24" spans="1:5" ht="15.75">
      <c r="A24" s="38" t="s">
        <v>31</v>
      </c>
      <c r="B24" s="39"/>
      <c r="C24" s="40">
        <f>C3+C7+C10+C15+C20+C13</f>
        <v>4170.3999999999996</v>
      </c>
      <c r="D24" s="40">
        <f>D3+D7+D10+D15+D20</f>
        <v>923.90000000000009</v>
      </c>
    </row>
    <row r="25" spans="1:5">
      <c r="A25" s="41"/>
      <c r="B25" s="41"/>
      <c r="C25" s="42"/>
      <c r="D25" s="43"/>
    </row>
    <row r="26" spans="1:5">
      <c r="A26" s="44" t="s">
        <v>727</v>
      </c>
      <c r="B26" s="44" t="s">
        <v>72</v>
      </c>
      <c r="C26" s="45">
        <v>40</v>
      </c>
      <c r="D26" s="331">
        <v>250</v>
      </c>
    </row>
    <row r="27" spans="1:5">
      <c r="A27" s="44" t="s">
        <v>30</v>
      </c>
      <c r="B27" s="44" t="s">
        <v>72</v>
      </c>
      <c r="C27" s="45">
        <v>66</v>
      </c>
      <c r="D27" s="331">
        <v>86</v>
      </c>
    </row>
    <row r="28" spans="1:5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</row>
    <row r="29" spans="1:5">
      <c r="A29" s="48" t="s">
        <v>11</v>
      </c>
      <c r="B29" s="44" t="s">
        <v>72</v>
      </c>
      <c r="C29" s="45">
        <v>135.5</v>
      </c>
      <c r="D29" s="331">
        <v>294.29000000000002</v>
      </c>
    </row>
    <row r="30" spans="1:5">
      <c r="A30" s="48" t="s">
        <v>12</v>
      </c>
      <c r="B30" s="44" t="s">
        <v>72</v>
      </c>
      <c r="C30" s="45">
        <f>C31+C32</f>
        <v>105.82</v>
      </c>
      <c r="D30" s="331">
        <f>D31+D32</f>
        <v>383.8</v>
      </c>
    </row>
    <row r="31" spans="1:5">
      <c r="A31" s="25" t="s">
        <v>13</v>
      </c>
      <c r="B31" s="7"/>
      <c r="C31" s="49">
        <v>50.82</v>
      </c>
      <c r="D31" s="382">
        <v>182.4</v>
      </c>
    </row>
    <row r="32" spans="1:5">
      <c r="A32" s="25" t="s">
        <v>14</v>
      </c>
      <c r="B32" s="7"/>
      <c r="C32" s="26">
        <v>55</v>
      </c>
      <c r="D32" s="382">
        <v>201.4</v>
      </c>
    </row>
    <row r="33" spans="1:4">
      <c r="A33" s="44" t="s">
        <v>850</v>
      </c>
      <c r="B33" s="44" t="s">
        <v>72</v>
      </c>
      <c r="C33" s="45">
        <v>4.5</v>
      </c>
      <c r="D33" s="331">
        <v>84</v>
      </c>
    </row>
    <row r="34" spans="1:4" ht="54" customHeight="1">
      <c r="A34" s="222" t="s">
        <v>71</v>
      </c>
      <c r="B34" s="30"/>
      <c r="C34" s="50" t="s">
        <v>15</v>
      </c>
      <c r="D34" s="50">
        <v>147.60749999999999</v>
      </c>
    </row>
    <row r="35" spans="1:4" ht="15.75">
      <c r="A35" s="38" t="s">
        <v>32</v>
      </c>
      <c r="B35" s="39"/>
      <c r="C35" s="40">
        <f>SUM(C26:C30,C33)-C28</f>
        <v>351.82</v>
      </c>
      <c r="D35" s="40">
        <f>SUM(D26:D30,D33)-D28+D34</f>
        <v>1245.6975</v>
      </c>
    </row>
    <row r="36" spans="1:4">
      <c r="A36" s="23"/>
      <c r="B36" s="23"/>
      <c r="C36" s="29"/>
      <c r="D36" s="51"/>
    </row>
    <row r="37" spans="1:4">
      <c r="A37" s="52" t="s">
        <v>629</v>
      </c>
      <c r="B37" s="52"/>
      <c r="C37" s="45">
        <v>5</v>
      </c>
      <c r="D37" s="53"/>
    </row>
    <row r="38" spans="1:4">
      <c r="A38" s="23" t="s">
        <v>826</v>
      </c>
      <c r="B38" s="23"/>
      <c r="C38" s="29">
        <v>37</v>
      </c>
      <c r="D38" s="51"/>
    </row>
    <row r="39" spans="1:4" ht="15.75">
      <c r="A39" s="38" t="s">
        <v>778</v>
      </c>
      <c r="B39" s="39"/>
      <c r="C39" s="40">
        <f>+C38+C37</f>
        <v>42</v>
      </c>
      <c r="D39" s="40"/>
    </row>
    <row r="40" spans="1:4">
      <c r="A40" s="23"/>
      <c r="B40" s="23"/>
      <c r="C40" s="29"/>
      <c r="D40" s="51"/>
    </row>
    <row r="41" spans="1:4">
      <c r="A41" s="52" t="s">
        <v>73</v>
      </c>
      <c r="B41" s="52"/>
      <c r="C41" s="45">
        <v>132.94399999999999</v>
      </c>
      <c r="D41" s="53"/>
    </row>
    <row r="42" spans="1:4">
      <c r="A42" s="48" t="s">
        <v>74</v>
      </c>
      <c r="B42" s="48"/>
      <c r="C42" s="45">
        <f>SUM(C43:C48)</f>
        <v>236.75</v>
      </c>
      <c r="D42" s="53"/>
    </row>
    <row r="43" spans="1:4">
      <c r="A43" s="25" t="s">
        <v>16</v>
      </c>
      <c r="B43" s="7"/>
      <c r="C43" s="26">
        <v>30</v>
      </c>
      <c r="D43" s="26"/>
    </row>
    <row r="44" spans="1:4">
      <c r="A44" s="25" t="s">
        <v>17</v>
      </c>
      <c r="B44" s="7"/>
      <c r="C44" s="49">
        <v>30.75</v>
      </c>
      <c r="D44" s="26"/>
    </row>
    <row r="45" spans="1:4">
      <c r="A45" s="25" t="s">
        <v>18</v>
      </c>
      <c r="B45" s="7"/>
      <c r="C45" s="26">
        <v>100</v>
      </c>
      <c r="D45" s="26"/>
    </row>
    <row r="46" spans="1:4">
      <c r="A46" s="25" t="s">
        <v>798</v>
      </c>
      <c r="B46" s="641"/>
      <c r="C46" s="642">
        <v>30</v>
      </c>
      <c r="D46" s="26"/>
    </row>
    <row r="47" spans="1:4">
      <c r="A47" s="25" t="s">
        <v>19</v>
      </c>
      <c r="B47" s="7"/>
      <c r="C47" s="26">
        <v>40</v>
      </c>
      <c r="D47" s="26"/>
    </row>
    <row r="48" spans="1:4">
      <c r="A48" s="25" t="s">
        <v>799</v>
      </c>
      <c r="B48" s="23"/>
      <c r="C48" s="615">
        <v>6</v>
      </c>
      <c r="D48" s="328"/>
    </row>
    <row r="49" spans="1:7">
      <c r="A49" s="616" t="s">
        <v>774</v>
      </c>
      <c r="B49" s="616"/>
      <c r="C49" s="612">
        <f>SUM(C50:C50)</f>
        <v>14</v>
      </c>
      <c r="D49" s="613"/>
    </row>
    <row r="50" spans="1:7">
      <c r="A50" s="25" t="s">
        <v>800</v>
      </c>
      <c r="B50" s="23"/>
      <c r="C50" s="615">
        <v>14</v>
      </c>
      <c r="D50" s="328"/>
    </row>
    <row r="51" spans="1:7" ht="15.75">
      <c r="A51" s="38" t="s">
        <v>33</v>
      </c>
      <c r="B51" s="39"/>
      <c r="C51" s="40">
        <f>C41+C42+C49</f>
        <v>383.69399999999996</v>
      </c>
      <c r="D51" s="54"/>
      <c r="G51" s="148"/>
    </row>
    <row r="52" spans="1:7" ht="15.75">
      <c r="A52" s="55"/>
      <c r="B52" s="55"/>
      <c r="C52" s="5"/>
      <c r="D52" s="5"/>
    </row>
    <row r="53" spans="1:7" ht="15.75">
      <c r="A53" s="38" t="s">
        <v>878</v>
      </c>
      <c r="B53" s="39"/>
      <c r="C53" s="40">
        <f>180+178</f>
        <v>358</v>
      </c>
      <c r="D53" s="54"/>
    </row>
    <row r="54" spans="1:7" customFormat="1" ht="15.75">
      <c r="A54" s="648"/>
      <c r="B54" s="649"/>
      <c r="C54" s="650"/>
      <c r="D54" s="651"/>
    </row>
    <row r="55" spans="1:7">
      <c r="A55" s="641" t="s">
        <v>827</v>
      </c>
      <c r="B55" s="641"/>
      <c r="C55" s="643">
        <f t="shared" ref="C55:D55" si="0">C56</f>
        <v>5.44</v>
      </c>
      <c r="D55" s="644">
        <f t="shared" si="0"/>
        <v>5</v>
      </c>
    </row>
    <row r="56" spans="1:7" ht="15.75">
      <c r="A56" s="645" t="s">
        <v>828</v>
      </c>
      <c r="B56" s="646"/>
      <c r="C56" s="647">
        <v>5.44</v>
      </c>
      <c r="D56" s="647">
        <v>5</v>
      </c>
    </row>
    <row r="57" spans="1:7" ht="15.75">
      <c r="A57" s="56"/>
      <c r="B57" s="55"/>
      <c r="C57" s="5"/>
      <c r="D57" s="5"/>
    </row>
    <row r="58" spans="1:7" ht="15.75">
      <c r="A58" s="38" t="s">
        <v>329</v>
      </c>
      <c r="B58" s="39"/>
      <c r="C58" s="40">
        <f>C24+C35+C51+C53+C39+C56</f>
        <v>5311.3539999999985</v>
      </c>
      <c r="D58" s="40">
        <f>D24+D35+D51+D53+D39+D56</f>
        <v>2174.5974999999999</v>
      </c>
    </row>
    <row r="60" spans="1:7">
      <c r="A60" s="56" t="s">
        <v>75</v>
      </c>
      <c r="C60" s="148"/>
    </row>
  </sheetData>
  <customSheetViews>
    <customSheetView guid="{77EFF5B1-32BE-4080-9902-B97F43099026}">
      <pageMargins left="0.7" right="0.7" top="0.75" bottom="0.75" header="0.3" footer="0.3"/>
    </customSheetView>
    <customSheetView guid="{AAA495E0-27FD-4941-85B8-9038B6AD4FA3}">
      <selection activeCell="F4" sqref="F4"/>
      <pageMargins left="0.7" right="0.7" top="0.75" bottom="0.75" header="0.3" footer="0.3"/>
    </customSheetView>
    <customSheetView guid="{874BA5F8-BD95-4DDF-8F31-98DB154CA965}">
      <selection activeCell="F4" sqref="F4"/>
      <pageMargins left="0.7" right="0.7" top="0.75" bottom="0.75" header="0.3" footer="0.3"/>
    </customSheetView>
    <customSheetView guid="{627AEB6E-B9F1-415E-9A60-881757A50C67}">
      <selection activeCell="C3" sqref="C3"/>
      <pageMargins left="0.7" right="0.7" top="0.75" bottom="0.75" header="0.3" footer="0.3"/>
    </customSheetView>
    <customSheetView guid="{786DE933-524F-40D1-8033-C008687087FC}"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>
    <tabColor rgb="FFFFFF00"/>
    <pageSetUpPr fitToPage="1"/>
  </sheetPr>
  <dimension ref="A1:PA51"/>
  <sheetViews>
    <sheetView workbookViewId="0">
      <selection activeCell="H2" sqref="H2"/>
    </sheetView>
  </sheetViews>
  <sheetFormatPr defaultColWidth="9.28515625" defaultRowHeight="15"/>
  <cols>
    <col min="1" max="1" width="40.7109375" style="5" customWidth="1"/>
    <col min="2" max="2" width="3.7109375" style="10" customWidth="1"/>
    <col min="3" max="3" width="21.28515625" style="10" customWidth="1"/>
    <col min="4" max="5" width="14.7109375" style="10" customWidth="1"/>
    <col min="6" max="6" width="21.7109375" style="10" customWidth="1"/>
    <col min="7" max="7" width="3.7109375" style="10" customWidth="1"/>
    <col min="8" max="8" width="21.28515625" style="10" customWidth="1"/>
    <col min="9" max="10" width="14.7109375" style="10" customWidth="1"/>
    <col min="11" max="11" width="21.7109375" style="10" customWidth="1"/>
    <col min="12" max="12" width="3.7109375" style="10" customWidth="1"/>
    <col min="13" max="13" width="21.28515625" style="10" customWidth="1"/>
    <col min="14" max="15" width="14.7109375" style="10" customWidth="1"/>
    <col min="16" max="16" width="21.7109375" style="10" customWidth="1"/>
    <col min="17" max="17" width="3.7109375" style="10" customWidth="1"/>
    <col min="18" max="18" width="21.28515625" style="10" customWidth="1"/>
    <col min="19" max="20" width="14.7109375" style="10" customWidth="1"/>
    <col min="21" max="21" width="21.7109375" style="10" customWidth="1"/>
    <col min="22" max="22" width="3.7109375" style="10" customWidth="1"/>
    <col min="23" max="23" width="21.28515625" style="10" customWidth="1"/>
    <col min="24" max="25" width="14.7109375" style="10" customWidth="1"/>
    <col min="26" max="26" width="21.7109375" style="10" customWidth="1"/>
    <col min="27" max="27" width="3.7109375" style="10" customWidth="1"/>
    <col min="28" max="28" width="21.28515625" style="10" customWidth="1"/>
    <col min="29" max="30" width="14.7109375" style="10" customWidth="1"/>
    <col min="31" max="31" width="21.7109375" style="10" customWidth="1"/>
    <col min="32" max="32" width="3.7109375" style="10" customWidth="1"/>
    <col min="33" max="33" width="21.28515625" style="10" customWidth="1"/>
    <col min="34" max="35" width="14.7109375" style="10" customWidth="1"/>
    <col min="36" max="36" width="21.7109375" style="10" customWidth="1"/>
    <col min="37" max="37" width="3.7109375" style="10" customWidth="1"/>
    <col min="38" max="38" width="21.28515625" style="10" customWidth="1"/>
    <col min="39" max="40" width="14.7109375" style="10" customWidth="1"/>
    <col min="41" max="41" width="21.7109375" style="10" customWidth="1"/>
    <col min="42" max="42" width="3.7109375" style="10" customWidth="1"/>
    <col min="43" max="43" width="21.28515625" style="10" customWidth="1"/>
    <col min="44" max="45" width="14.7109375" style="10" customWidth="1"/>
    <col min="46" max="46" width="21.7109375" style="10" customWidth="1"/>
    <col min="47" max="47" width="3.7109375" style="10" customWidth="1"/>
    <col min="48" max="48" width="21.28515625" style="10" customWidth="1"/>
    <col min="49" max="50" width="14.7109375" style="10" customWidth="1"/>
    <col min="51" max="51" width="21.7109375" style="10" customWidth="1"/>
    <col min="52" max="52" width="3.7109375" style="10" customWidth="1"/>
    <col min="53" max="53" width="21.28515625" style="10" customWidth="1"/>
    <col min="54" max="55" width="14.7109375" style="10" customWidth="1"/>
    <col min="56" max="56" width="21.7109375" style="10" customWidth="1"/>
    <col min="57" max="57" width="3.7109375" style="10" customWidth="1"/>
    <col min="58" max="58" width="21.28515625" style="10" customWidth="1"/>
    <col min="59" max="60" width="14.7109375" style="10" customWidth="1"/>
    <col min="61" max="61" width="21.7109375" style="10" customWidth="1"/>
    <col min="62" max="62" width="3.7109375" style="10" customWidth="1"/>
    <col min="63" max="63" width="21.28515625" style="10" customWidth="1"/>
    <col min="64" max="65" width="14.7109375" style="10" customWidth="1"/>
    <col min="66" max="66" width="21.7109375" style="10" customWidth="1"/>
    <col min="67" max="67" width="3.7109375" style="10" customWidth="1"/>
    <col min="68" max="68" width="21.28515625" style="10" customWidth="1"/>
    <col min="69" max="70" width="14.7109375" style="10" customWidth="1"/>
    <col min="71" max="71" width="21.7109375" style="10" customWidth="1"/>
    <col min="72" max="72" width="3.7109375" style="10" customWidth="1"/>
    <col min="73" max="73" width="21.28515625" style="10" customWidth="1"/>
    <col min="74" max="75" width="14.7109375" style="10" customWidth="1"/>
    <col min="76" max="76" width="21.7109375" style="10" customWidth="1"/>
    <col min="77" max="77" width="3.7109375" style="10" customWidth="1"/>
    <col min="78" max="78" width="21.28515625" style="10" customWidth="1"/>
    <col min="79" max="80" width="14.7109375" style="10" customWidth="1"/>
    <col min="81" max="81" width="21.7109375" style="10" customWidth="1"/>
    <col min="82" max="82" width="3.7109375" style="10" customWidth="1"/>
    <col min="83" max="83" width="21.28515625" style="10" customWidth="1"/>
    <col min="84" max="85" width="14.7109375" style="10" customWidth="1"/>
    <col min="86" max="86" width="21.7109375" style="10" customWidth="1"/>
    <col min="87" max="87" width="3.7109375" style="10" customWidth="1"/>
    <col min="88" max="88" width="21.28515625" style="10" customWidth="1"/>
    <col min="89" max="90" width="14.7109375" style="10" customWidth="1"/>
    <col min="91" max="91" width="21.7109375" style="10" customWidth="1"/>
    <col min="92" max="92" width="3.7109375" style="10" customWidth="1"/>
    <col min="93" max="93" width="21.28515625" style="10" customWidth="1"/>
    <col min="94" max="95" width="14.7109375" style="10" customWidth="1"/>
    <col min="96" max="96" width="21.7109375" style="10" customWidth="1"/>
    <col min="97" max="97" width="3.7109375" style="10" customWidth="1"/>
    <col min="98" max="98" width="21.28515625" style="10" customWidth="1"/>
    <col min="99" max="100" width="14.7109375" style="10" customWidth="1"/>
    <col min="101" max="101" width="21.7109375" style="10" customWidth="1"/>
    <col min="102" max="102" width="3.7109375" style="10" customWidth="1"/>
    <col min="103" max="103" width="21.28515625" style="10" customWidth="1"/>
    <col min="104" max="105" width="14.7109375" style="10" customWidth="1"/>
    <col min="106" max="106" width="21.7109375" style="10" customWidth="1"/>
    <col min="107" max="107" width="3.7109375" style="10" customWidth="1"/>
    <col min="108" max="108" width="21.28515625" style="10" customWidth="1"/>
    <col min="109" max="110" width="14.7109375" style="10" customWidth="1"/>
    <col min="111" max="111" width="21.7109375" style="10" customWidth="1"/>
    <col min="112" max="112" width="3.7109375" style="10" customWidth="1"/>
    <col min="113" max="113" width="21.28515625" style="10" customWidth="1"/>
    <col min="114" max="115" width="14.7109375" style="10" customWidth="1"/>
    <col min="116" max="116" width="21.7109375" style="10" customWidth="1"/>
    <col min="117" max="117" width="3.7109375" style="10" customWidth="1"/>
    <col min="118" max="118" width="21.28515625" style="10" customWidth="1"/>
    <col min="119" max="120" width="14.7109375" style="10" customWidth="1"/>
    <col min="121" max="121" width="21.7109375" style="10" customWidth="1"/>
    <col min="122" max="122" width="3.7109375" style="10" customWidth="1"/>
    <col min="123" max="123" width="21.28515625" style="10" customWidth="1"/>
    <col min="124" max="125" width="14.7109375" style="10" customWidth="1"/>
    <col min="126" max="126" width="21.7109375" style="10" customWidth="1"/>
    <col min="127" max="127" width="3.7109375" style="10" customWidth="1"/>
    <col min="128" max="128" width="21.28515625" style="10" customWidth="1"/>
    <col min="129" max="130" width="14.7109375" style="10" customWidth="1"/>
    <col min="131" max="131" width="21.7109375" style="10" customWidth="1"/>
    <col min="132" max="132" width="3.7109375" style="10" customWidth="1"/>
    <col min="133" max="133" width="21.28515625" style="10" customWidth="1"/>
    <col min="134" max="135" width="14.7109375" style="10" customWidth="1"/>
    <col min="136" max="136" width="21.7109375" style="10" customWidth="1"/>
    <col min="137" max="137" width="3.7109375" style="10" customWidth="1"/>
    <col min="138" max="138" width="21.28515625" style="10" customWidth="1"/>
    <col min="139" max="140" width="14.7109375" style="10" customWidth="1"/>
    <col min="141" max="141" width="21.7109375" style="10" customWidth="1"/>
    <col min="142" max="142" width="3.7109375" style="10" customWidth="1"/>
    <col min="143" max="143" width="21.28515625" style="10" customWidth="1"/>
    <col min="144" max="145" width="14.7109375" style="10" customWidth="1"/>
    <col min="146" max="146" width="21.7109375" style="10" customWidth="1"/>
    <col min="147" max="147" width="3.7109375" style="10" customWidth="1"/>
    <col min="148" max="148" width="21.28515625" style="10" customWidth="1"/>
    <col min="149" max="150" width="14.7109375" style="10" customWidth="1"/>
    <col min="151" max="151" width="21.7109375" style="10" customWidth="1"/>
    <col min="152" max="152" width="3.7109375" style="10" customWidth="1"/>
    <col min="153" max="153" width="21.28515625" style="10" customWidth="1"/>
    <col min="154" max="155" width="14.7109375" style="10" customWidth="1"/>
    <col min="156" max="156" width="21.7109375" style="10" customWidth="1"/>
    <col min="157" max="157" width="3.7109375" style="10" customWidth="1"/>
    <col min="158" max="158" width="21.28515625" style="10" customWidth="1"/>
    <col min="159" max="160" width="14.7109375" style="10" customWidth="1"/>
    <col min="161" max="161" width="21.7109375" style="10" customWidth="1"/>
    <col min="162" max="162" width="3.7109375" style="10" customWidth="1"/>
    <col min="163" max="163" width="21.28515625" style="10" customWidth="1"/>
    <col min="164" max="165" width="14.7109375" style="10" customWidth="1"/>
    <col min="166" max="166" width="21.7109375" style="10" customWidth="1"/>
    <col min="167" max="167" width="3.7109375" style="10" customWidth="1"/>
    <col min="168" max="168" width="21.28515625" style="10" customWidth="1"/>
    <col min="169" max="170" width="14.7109375" style="10" customWidth="1"/>
    <col min="171" max="171" width="21.7109375" style="10" customWidth="1"/>
    <col min="172" max="172" width="3.7109375" style="10" customWidth="1"/>
    <col min="173" max="173" width="21.28515625" style="10" customWidth="1"/>
    <col min="174" max="175" width="14.7109375" style="10" customWidth="1"/>
    <col min="176" max="176" width="21.7109375" style="10" customWidth="1"/>
    <col min="177" max="177" width="3.7109375" style="10" customWidth="1"/>
    <col min="178" max="178" width="21.28515625" style="10" customWidth="1"/>
    <col min="179" max="180" width="14.7109375" style="10" customWidth="1"/>
    <col min="181" max="181" width="21.7109375" style="10" customWidth="1"/>
    <col min="182" max="182" width="5.7109375" style="10" customWidth="1"/>
    <col min="183" max="183" width="21.28515625" style="339" customWidth="1"/>
    <col min="184" max="185" width="14.7109375" style="339" customWidth="1"/>
    <col min="186" max="186" width="21.7109375" style="339" customWidth="1"/>
    <col min="187" max="187" width="3.7109375" style="339" customWidth="1"/>
    <col min="188" max="188" width="21.28515625" style="339" customWidth="1"/>
    <col min="189" max="190" width="14.7109375" style="339" customWidth="1"/>
    <col min="191" max="191" width="21.7109375" style="339" customWidth="1"/>
    <col min="192" max="192" width="8.28515625" style="339" customWidth="1"/>
    <col min="193" max="193" width="21.28515625" style="339" customWidth="1"/>
    <col min="194" max="195" width="14.7109375" style="339" customWidth="1"/>
    <col min="196" max="196" width="21.7109375" style="339" customWidth="1"/>
    <col min="197" max="197" width="3.7109375" style="339" customWidth="1"/>
    <col min="198" max="198" width="21.28515625" style="339" customWidth="1"/>
    <col min="199" max="200" width="14.7109375" style="339" customWidth="1"/>
    <col min="201" max="201" width="21.7109375" style="339" customWidth="1"/>
    <col min="202" max="203" width="3.7109375" style="339" customWidth="1"/>
    <col min="204" max="204" width="21.28515625" style="339" customWidth="1"/>
    <col min="205" max="206" width="14.7109375" style="339" customWidth="1"/>
    <col min="207" max="207" width="21.7109375" style="339" customWidth="1"/>
    <col min="208" max="208" width="3.7109375" style="339" customWidth="1"/>
    <col min="209" max="209" width="21.28515625" style="339" customWidth="1"/>
    <col min="210" max="211" width="14.7109375" style="339" customWidth="1"/>
    <col min="212" max="212" width="21.7109375" style="339" customWidth="1"/>
    <col min="213" max="213" width="3.7109375" style="339" customWidth="1"/>
    <col min="214" max="214" width="21.28515625" style="339" customWidth="1"/>
    <col min="215" max="216" width="14.7109375" style="339" customWidth="1"/>
    <col min="217" max="217" width="21.7109375" style="339" customWidth="1"/>
    <col min="218" max="218" width="5.7109375" style="339" customWidth="1"/>
    <col min="219" max="219" width="21.28515625" style="339" customWidth="1"/>
    <col min="220" max="221" width="14.7109375" style="339" customWidth="1"/>
    <col min="222" max="222" width="21.7109375" style="339" customWidth="1"/>
    <col min="223" max="223" width="3.7109375" style="339" customWidth="1"/>
    <col min="224" max="224" width="21.28515625" style="339" customWidth="1"/>
    <col min="225" max="226" width="14.7109375" style="339" customWidth="1"/>
    <col min="227" max="227" width="21.7109375" style="339" customWidth="1"/>
    <col min="228" max="228" width="5.7109375" style="339" customWidth="1"/>
    <col min="229" max="229" width="21.28515625" style="339" customWidth="1"/>
    <col min="230" max="231" width="14.7109375" style="339" customWidth="1"/>
    <col min="232" max="232" width="21.7109375" style="339" customWidth="1"/>
    <col min="233" max="233" width="3.7109375" style="339" customWidth="1"/>
    <col min="234" max="234" width="21.28515625" style="339" customWidth="1"/>
    <col min="235" max="236" width="14.7109375" style="339" customWidth="1"/>
    <col min="237" max="237" width="21.7109375" style="339" customWidth="1"/>
    <col min="238" max="238" width="5.7109375" style="339" customWidth="1"/>
    <col min="239" max="239" width="21.28515625" style="157" customWidth="1"/>
    <col min="240" max="241" width="14.7109375" style="157" customWidth="1"/>
    <col min="242" max="242" width="21.7109375" style="157" customWidth="1"/>
    <col min="243" max="243" width="3.7109375" style="157" customWidth="1"/>
    <col min="244" max="244" width="21.28515625" style="157" customWidth="1"/>
    <col min="245" max="246" width="14.7109375" style="157" customWidth="1"/>
    <col min="247" max="247" width="21.7109375" style="157" customWidth="1"/>
    <col min="248" max="248" width="5.7109375" style="10" customWidth="1"/>
    <col min="249" max="249" width="21.28515625" style="10" customWidth="1"/>
    <col min="250" max="251" width="14.7109375" style="10" customWidth="1"/>
    <col min="252" max="252" width="21.7109375" style="10" customWidth="1"/>
    <col min="253" max="253" width="9.5703125" style="10" customWidth="1"/>
    <col min="254" max="254" width="21.28515625" style="10" customWidth="1"/>
    <col min="255" max="256" width="14.7109375" style="10" customWidth="1"/>
    <col min="257" max="257" width="21.7109375" style="10" customWidth="1"/>
    <col min="258" max="258" width="3.7109375" style="10" customWidth="1"/>
    <col min="259" max="259" width="21.28515625" style="10" customWidth="1"/>
    <col min="260" max="261" width="14.7109375" style="10" customWidth="1"/>
    <col min="262" max="262" width="21.7109375" style="10" customWidth="1"/>
    <col min="263" max="263" width="15" style="10" customWidth="1"/>
    <col min="264" max="264" width="21.7109375" style="10" customWidth="1"/>
    <col min="265" max="266" width="17.7109375" style="10" customWidth="1"/>
    <col min="267" max="267" width="21.7109375" style="10" customWidth="1"/>
    <col min="268" max="268" width="6.28515625" style="10" customWidth="1"/>
    <col min="269" max="269" width="21.7109375" style="10" customWidth="1"/>
    <col min="270" max="271" width="17.7109375" style="10" customWidth="1"/>
    <col min="272" max="272" width="21.7109375" style="10" customWidth="1"/>
    <col min="273" max="273" width="4.5703125" style="10" customWidth="1"/>
    <col min="274" max="274" width="21.7109375" style="10" customWidth="1"/>
    <col min="275" max="276" width="17.7109375" style="10" customWidth="1"/>
    <col min="277" max="277" width="21.7109375" style="10" customWidth="1"/>
    <col min="278" max="278" width="5.7109375" style="10" customWidth="1"/>
    <col min="279" max="279" width="21.7109375" style="10" customWidth="1"/>
    <col min="280" max="281" width="17.7109375" style="10" customWidth="1"/>
    <col min="282" max="282" width="21.7109375" style="10" customWidth="1"/>
    <col min="283" max="283" width="3.7109375" style="10" customWidth="1"/>
    <col min="284" max="284" width="21.7109375" style="10" customWidth="1"/>
    <col min="285" max="286" width="17.7109375" style="10" customWidth="1"/>
    <col min="287" max="287" width="21.7109375" style="10" customWidth="1"/>
    <col min="288" max="288" width="3.7109375" style="10" customWidth="1"/>
    <col min="289" max="289" width="21.7109375" style="10" customWidth="1"/>
    <col min="290" max="291" width="17.7109375" style="10" customWidth="1"/>
    <col min="292" max="292" width="21.7109375" style="10" customWidth="1"/>
    <col min="293" max="293" width="3.7109375" style="10" customWidth="1"/>
    <col min="294" max="294" width="21.7109375" style="10" customWidth="1"/>
    <col min="295" max="296" width="17.7109375" style="10" customWidth="1"/>
    <col min="297" max="297" width="21.7109375" style="10" customWidth="1"/>
    <col min="298" max="298" width="9.28515625" style="10"/>
    <col min="299" max="299" width="21.7109375" style="10" customWidth="1"/>
    <col min="300" max="301" width="17.7109375" style="10" customWidth="1"/>
    <col min="302" max="302" width="22.7109375" style="10" customWidth="1"/>
    <col min="303" max="303" width="3.7109375" style="10" customWidth="1"/>
    <col min="304" max="304" width="22.7109375" style="10" customWidth="1"/>
    <col min="305" max="306" width="18.7109375" style="10" customWidth="1"/>
    <col min="307" max="307" width="22.7109375" style="10" customWidth="1"/>
    <col min="308" max="308" width="9.28515625" style="10"/>
    <col min="309" max="309" width="22.7109375" style="10" customWidth="1"/>
    <col min="310" max="311" width="18.7109375" style="10" customWidth="1"/>
    <col min="312" max="312" width="24.5703125" style="10" customWidth="1"/>
    <col min="313" max="313" width="3.7109375" style="10" customWidth="1"/>
    <col min="314" max="314" width="22.7109375" style="10" customWidth="1"/>
    <col min="315" max="316" width="18.7109375" style="10" customWidth="1"/>
    <col min="317" max="317" width="24.5703125" style="10" customWidth="1"/>
    <col min="318" max="318" width="9.28515625" style="10"/>
    <col min="319" max="319" width="22.28515625" style="10" customWidth="1"/>
    <col min="320" max="320" width="17.7109375" style="10" customWidth="1"/>
    <col min="321" max="321" width="17" style="10" customWidth="1"/>
    <col min="322" max="322" width="24" style="10" customWidth="1"/>
    <col min="323" max="323" width="9.28515625" style="10"/>
    <col min="324" max="324" width="22.5703125" style="10" customWidth="1"/>
    <col min="325" max="325" width="9.7109375" style="10" bestFit="1" customWidth="1"/>
    <col min="326" max="326" width="10.28515625" style="10" bestFit="1" customWidth="1"/>
    <col min="327" max="327" width="23.7109375" style="10" customWidth="1"/>
    <col min="328" max="328" width="3.42578125" style="10" customWidth="1"/>
    <col min="329" max="329" width="24.28515625" style="10" customWidth="1"/>
    <col min="330" max="330" width="19.7109375" style="10" customWidth="1"/>
    <col min="331" max="331" width="20.28515625" style="10" customWidth="1"/>
    <col min="332" max="332" width="24.28515625" style="10" customWidth="1"/>
    <col min="333" max="333" width="9.28515625" style="10"/>
    <col min="334" max="334" width="23" style="10" customWidth="1"/>
    <col min="335" max="335" width="15.7109375" style="10" customWidth="1"/>
    <col min="336" max="336" width="14.5703125" style="10" customWidth="1"/>
    <col min="337" max="337" width="23.7109375" style="10" customWidth="1"/>
    <col min="338" max="338" width="9.28515625" style="10"/>
    <col min="339" max="339" width="28.28515625" style="10" customWidth="1"/>
    <col min="340" max="341" width="19.7109375" style="10" customWidth="1"/>
    <col min="342" max="342" width="24.7109375" style="10" customWidth="1"/>
    <col min="343" max="343" width="9.28515625" style="10"/>
    <col min="344" max="344" width="23.28515625" style="10" customWidth="1"/>
    <col min="345" max="345" width="19.28515625" style="10" customWidth="1"/>
    <col min="346" max="346" width="19" style="10" customWidth="1"/>
    <col min="347" max="347" width="24.28515625" style="10" customWidth="1"/>
    <col min="348" max="348" width="4" style="10" customWidth="1"/>
    <col min="349" max="349" width="24" style="10" customWidth="1"/>
    <col min="350" max="351" width="19" style="10" customWidth="1"/>
    <col min="352" max="352" width="25.5703125" style="10" customWidth="1"/>
    <col min="353" max="353" width="9.28515625" style="10"/>
    <col min="354" max="354" width="25.28515625" style="10" customWidth="1"/>
    <col min="355" max="355" width="17.42578125" style="10" customWidth="1"/>
    <col min="356" max="356" width="19.28515625" style="10" customWidth="1"/>
    <col min="357" max="357" width="22.28515625" style="10" customWidth="1"/>
    <col min="358" max="358" width="9.28515625" style="10"/>
    <col min="359" max="359" width="49.28515625" style="10" customWidth="1"/>
    <col min="360" max="360" width="28.42578125" style="10" customWidth="1"/>
    <col min="361" max="361" width="14.7109375" style="10" customWidth="1"/>
    <col min="362" max="362" width="14.28515625" style="10" customWidth="1"/>
    <col min="363" max="363" width="21.42578125" style="10" customWidth="1"/>
    <col min="364" max="364" width="9.28515625" style="10"/>
    <col min="365" max="365" width="21.5703125" style="10" customWidth="1"/>
    <col min="366" max="366" width="15.28515625" style="10" customWidth="1"/>
    <col min="367" max="367" width="13.7109375" style="10" customWidth="1"/>
    <col min="368" max="368" width="23.42578125" style="10" customWidth="1"/>
    <col min="369" max="369" width="9.28515625" style="10"/>
    <col min="370" max="370" width="21.5703125" style="10" customWidth="1"/>
    <col min="371" max="371" width="13.28515625" style="10" customWidth="1"/>
    <col min="372" max="372" width="14.7109375" style="10" customWidth="1"/>
    <col min="373" max="373" width="21.42578125" style="10" customWidth="1"/>
    <col min="374" max="16384" width="9.28515625" style="10"/>
  </cols>
  <sheetData>
    <row r="1" spans="1:417" ht="20.25">
      <c r="A1" s="18" t="s">
        <v>76</v>
      </c>
      <c r="C1" s="607"/>
      <c r="D1" s="607"/>
      <c r="E1" s="607"/>
      <c r="F1" s="607"/>
      <c r="H1" s="607"/>
      <c r="I1" s="607"/>
      <c r="J1" s="607"/>
      <c r="K1" s="607"/>
      <c r="M1" s="607"/>
      <c r="N1" s="607"/>
      <c r="O1" s="607"/>
      <c r="P1" s="607"/>
      <c r="R1" s="607"/>
      <c r="S1" s="607"/>
      <c r="T1" s="607"/>
      <c r="U1" s="607"/>
      <c r="W1" s="607"/>
      <c r="X1" s="607"/>
      <c r="Y1" s="607"/>
      <c r="Z1" s="607"/>
      <c r="AB1" s="607"/>
      <c r="AC1" s="607"/>
      <c r="AD1" s="607"/>
      <c r="AE1" s="607"/>
      <c r="AG1" s="607"/>
      <c r="AH1" s="607"/>
      <c r="AI1" s="607"/>
      <c r="AJ1" s="607"/>
      <c r="AL1" s="607"/>
      <c r="AM1" s="607"/>
      <c r="AN1" s="607"/>
      <c r="AO1" s="607"/>
      <c r="AQ1" s="607"/>
      <c r="AR1" s="607"/>
      <c r="AS1" s="607"/>
      <c r="AT1" s="607"/>
      <c r="AV1" s="607"/>
      <c r="AW1" s="607"/>
      <c r="AX1" s="607"/>
      <c r="AY1" s="607"/>
      <c r="BA1" s="607"/>
      <c r="BB1" s="607"/>
      <c r="BC1" s="607"/>
      <c r="BD1" s="607"/>
      <c r="BF1" s="607"/>
      <c r="BG1" s="607"/>
      <c r="BH1" s="607"/>
      <c r="BI1" s="607"/>
      <c r="BK1" s="607"/>
      <c r="BL1" s="607"/>
      <c r="BM1" s="607"/>
      <c r="BN1" s="607"/>
      <c r="BP1" s="607"/>
      <c r="BQ1" s="607"/>
      <c r="BR1" s="607"/>
      <c r="BS1" s="607"/>
      <c r="BU1" s="607"/>
      <c r="BV1" s="607"/>
      <c r="BW1" s="607"/>
      <c r="BX1" s="607"/>
      <c r="BZ1" s="607"/>
      <c r="CA1" s="607"/>
      <c r="CB1" s="607"/>
      <c r="CC1" s="607"/>
      <c r="CE1" s="607"/>
      <c r="CF1" s="607"/>
      <c r="CG1" s="607"/>
      <c r="CH1" s="607"/>
      <c r="CJ1" s="58"/>
      <c r="CK1" s="58"/>
      <c r="CL1" s="58"/>
      <c r="CM1" s="58"/>
      <c r="CO1" s="58"/>
      <c r="CP1" s="58"/>
      <c r="CQ1" s="58"/>
      <c r="CR1" s="58"/>
      <c r="CT1" s="58"/>
      <c r="CU1" s="58"/>
      <c r="CV1" s="58"/>
      <c r="CW1" s="58"/>
      <c r="CY1" s="58"/>
      <c r="CZ1" s="58"/>
      <c r="DA1" s="58"/>
      <c r="DB1" s="58"/>
      <c r="DD1" s="58"/>
      <c r="DE1" s="58"/>
      <c r="DF1" s="58"/>
      <c r="DG1" s="58"/>
      <c r="DI1" s="58"/>
      <c r="DJ1" s="58"/>
      <c r="DK1" s="58"/>
      <c r="DL1" s="58"/>
      <c r="DN1" s="58"/>
      <c r="DO1" s="58"/>
      <c r="DP1" s="58"/>
      <c r="DQ1" s="58"/>
      <c r="DS1" s="58"/>
      <c r="DT1" s="58"/>
      <c r="DU1" s="58"/>
      <c r="DV1" s="58"/>
      <c r="DX1" s="58"/>
      <c r="DY1" s="58"/>
      <c r="DZ1" s="58"/>
      <c r="EA1" s="58"/>
      <c r="EC1" s="58"/>
      <c r="ED1" s="58"/>
      <c r="EE1" s="58"/>
      <c r="EF1" s="58"/>
      <c r="EH1" s="58"/>
      <c r="EI1" s="58"/>
      <c r="EJ1" s="58"/>
      <c r="EK1" s="58"/>
      <c r="EM1" s="58"/>
      <c r="EN1" s="58"/>
      <c r="EO1" s="58"/>
      <c r="EP1" s="58"/>
      <c r="ER1" s="58"/>
      <c r="ES1" s="58"/>
      <c r="ET1" s="58"/>
      <c r="EU1" s="58"/>
      <c r="EW1" s="58"/>
      <c r="EX1" s="58"/>
      <c r="EY1" s="58"/>
      <c r="EZ1" s="58"/>
      <c r="FB1" s="58"/>
      <c r="FC1" s="58"/>
      <c r="FD1" s="58"/>
      <c r="FE1" s="58"/>
      <c r="FG1" s="58"/>
      <c r="FH1" s="58"/>
      <c r="FI1" s="58"/>
      <c r="FJ1" s="58"/>
      <c r="FL1" s="58"/>
      <c r="FM1" s="58"/>
      <c r="FN1" s="58"/>
      <c r="FO1" s="58"/>
      <c r="FQ1" s="58"/>
      <c r="FR1" s="58"/>
      <c r="FS1" s="58"/>
      <c r="FT1" s="58"/>
      <c r="FV1" s="58"/>
      <c r="FW1" s="58"/>
      <c r="FX1" s="58"/>
      <c r="FY1" s="58"/>
      <c r="GA1" s="338"/>
      <c r="GB1" s="338"/>
      <c r="GC1" s="338"/>
      <c r="GD1" s="338"/>
      <c r="GF1" s="338"/>
      <c r="GG1" s="338"/>
      <c r="GH1" s="338"/>
      <c r="GI1" s="338"/>
      <c r="GK1" s="338"/>
      <c r="GL1" s="338"/>
      <c r="GM1" s="338"/>
      <c r="GN1" s="338"/>
      <c r="GP1" s="338"/>
      <c r="GQ1" s="338"/>
      <c r="GR1" s="338"/>
      <c r="GS1" s="338"/>
      <c r="GV1" s="338"/>
      <c r="GW1" s="338"/>
      <c r="GX1" s="338"/>
      <c r="GY1" s="338"/>
      <c r="HA1" s="338"/>
      <c r="HB1" s="338"/>
      <c r="HC1" s="338"/>
      <c r="HD1" s="338"/>
      <c r="HF1" s="338"/>
      <c r="HG1" s="338"/>
      <c r="HH1" s="338"/>
      <c r="HI1" s="338"/>
      <c r="HK1" s="338"/>
      <c r="HL1" s="338"/>
      <c r="HM1" s="338"/>
      <c r="HN1" s="338"/>
      <c r="HP1" s="338"/>
      <c r="HQ1" s="338"/>
      <c r="HR1" s="338"/>
      <c r="HS1" s="338"/>
      <c r="HU1" s="338"/>
      <c r="HV1" s="338"/>
      <c r="HW1" s="338"/>
      <c r="HX1" s="338"/>
      <c r="HZ1" s="338"/>
      <c r="IA1" s="338"/>
      <c r="IB1" s="338"/>
      <c r="IC1" s="338"/>
      <c r="IE1" s="153"/>
      <c r="IF1" s="153"/>
      <c r="IG1" s="153"/>
      <c r="IH1" s="153"/>
      <c r="IJ1" s="153"/>
      <c r="IK1" s="153"/>
      <c r="IL1" s="153"/>
      <c r="IM1" s="153"/>
      <c r="IO1" s="58"/>
      <c r="IP1" s="58"/>
      <c r="IQ1" s="58"/>
      <c r="IR1" s="58"/>
      <c r="IT1" s="58"/>
      <c r="IU1" s="58"/>
      <c r="IV1" s="58"/>
      <c r="IW1" s="58"/>
      <c r="IY1" s="58"/>
      <c r="IZ1" s="58"/>
      <c r="JA1" s="58"/>
      <c r="JB1" s="58"/>
      <c r="JD1" s="58"/>
      <c r="JE1" s="58"/>
      <c r="JF1" s="58"/>
      <c r="JG1" s="58"/>
      <c r="JH1" s="58"/>
      <c r="JI1" s="58"/>
      <c r="JJ1" s="58"/>
      <c r="JK1" s="58"/>
      <c r="JL1" s="58"/>
      <c r="JN1" s="58"/>
      <c r="JO1" s="58"/>
      <c r="JP1" s="58"/>
      <c r="JQ1" s="58"/>
      <c r="JS1" s="58"/>
      <c r="JT1" s="58"/>
      <c r="JU1" s="58"/>
      <c r="JV1" s="58"/>
      <c r="JX1" s="58"/>
      <c r="JY1" s="58"/>
      <c r="JZ1" s="58"/>
      <c r="KA1" s="58"/>
      <c r="KC1" s="58"/>
      <c r="KD1" s="58"/>
      <c r="KE1" s="58"/>
      <c r="KF1" s="58"/>
      <c r="KH1" s="1"/>
      <c r="KI1" s="1"/>
      <c r="KJ1" s="1"/>
      <c r="KK1" s="1"/>
      <c r="KM1" s="58"/>
      <c r="KN1" s="58"/>
      <c r="KO1" s="58"/>
      <c r="KP1" s="58"/>
      <c r="KR1" s="1"/>
      <c r="KS1" s="1"/>
      <c r="KT1" s="1"/>
      <c r="KU1" s="1"/>
      <c r="KW1" s="58"/>
      <c r="KX1" s="58"/>
      <c r="KY1" s="58"/>
      <c r="KZ1" s="58"/>
      <c r="LB1" s="1"/>
      <c r="LC1" s="1"/>
      <c r="LD1" s="1"/>
      <c r="LE1" s="1"/>
      <c r="LG1" s="1"/>
      <c r="LH1" s="1"/>
      <c r="LI1" s="1"/>
      <c r="LJ1" s="1"/>
      <c r="LL1" s="1"/>
      <c r="LM1" s="1"/>
      <c r="LN1" s="1"/>
      <c r="LO1" s="1"/>
      <c r="LP1" s="58"/>
      <c r="LQ1" s="1"/>
      <c r="LR1" s="1"/>
      <c r="LS1" s="1"/>
      <c r="LT1" s="1"/>
      <c r="LU1" s="58"/>
      <c r="LV1" s="1"/>
      <c r="LW1" s="1"/>
      <c r="LX1" s="1"/>
      <c r="LY1" s="1"/>
      <c r="MA1" s="1"/>
      <c r="MB1" s="1"/>
      <c r="MC1" s="1"/>
      <c r="MD1" s="1"/>
      <c r="MF1" s="1"/>
      <c r="MG1" s="1"/>
      <c r="MH1" s="1"/>
      <c r="MI1" s="1"/>
      <c r="MK1" s="1"/>
      <c r="ML1" s="1"/>
      <c r="MM1" s="1"/>
      <c r="MN1" s="1"/>
      <c r="MP1" s="1"/>
      <c r="MQ1" s="1"/>
      <c r="MR1" s="1"/>
      <c r="MS1" s="1"/>
      <c r="MU1" s="1" t="s">
        <v>76</v>
      </c>
      <c r="MV1" s="6"/>
      <c r="MW1" s="6"/>
      <c r="MX1" s="6"/>
      <c r="MY1" s="6"/>
      <c r="NA1" s="6"/>
      <c r="NB1" s="6"/>
      <c r="NC1" s="6"/>
      <c r="ND1" s="6"/>
      <c r="NF1" s="6"/>
      <c r="NG1" s="6"/>
      <c r="NH1" s="6"/>
      <c r="NI1" s="6"/>
    </row>
    <row r="2" spans="1:417" ht="51">
      <c r="A2" s="59" t="s">
        <v>372</v>
      </c>
      <c r="C2" s="608" t="s">
        <v>969</v>
      </c>
      <c r="D2" s="608" t="s">
        <v>970</v>
      </c>
      <c r="E2" s="608" t="s">
        <v>971</v>
      </c>
      <c r="F2" s="60" t="s">
        <v>972</v>
      </c>
      <c r="H2" s="608" t="s">
        <v>960</v>
      </c>
      <c r="I2" s="608" t="s">
        <v>961</v>
      </c>
      <c r="J2" s="608" t="s">
        <v>962</v>
      </c>
      <c r="K2" s="60" t="s">
        <v>974</v>
      </c>
      <c r="M2" s="608" t="s">
        <v>963</v>
      </c>
      <c r="N2" s="608" t="s">
        <v>964</v>
      </c>
      <c r="O2" s="608" t="s">
        <v>965</v>
      </c>
      <c r="P2" s="60" t="s">
        <v>973</v>
      </c>
      <c r="R2" s="608" t="s">
        <v>875</v>
      </c>
      <c r="S2" s="608" t="s">
        <v>876</v>
      </c>
      <c r="T2" s="608" t="s">
        <v>877</v>
      </c>
      <c r="U2" s="60" t="s">
        <v>874</v>
      </c>
      <c r="W2" s="608" t="s">
        <v>871</v>
      </c>
      <c r="X2" s="608" t="s">
        <v>872</v>
      </c>
      <c r="Y2" s="608" t="s">
        <v>873</v>
      </c>
      <c r="Z2" s="60" t="s">
        <v>874</v>
      </c>
      <c r="AB2" s="608" t="s">
        <v>858</v>
      </c>
      <c r="AC2" s="608" t="s">
        <v>859</v>
      </c>
      <c r="AD2" s="608" t="s">
        <v>860</v>
      </c>
      <c r="AE2" s="60" t="s">
        <v>861</v>
      </c>
      <c r="AG2" s="608" t="s">
        <v>862</v>
      </c>
      <c r="AH2" s="608" t="s">
        <v>863</v>
      </c>
      <c r="AI2" s="608" t="s">
        <v>864</v>
      </c>
      <c r="AJ2" s="60" t="s">
        <v>861</v>
      </c>
      <c r="AL2" s="60" t="s">
        <v>846</v>
      </c>
      <c r="AM2" s="60" t="s">
        <v>847</v>
      </c>
      <c r="AN2" s="60" t="s">
        <v>848</v>
      </c>
      <c r="AO2" s="60" t="s">
        <v>849</v>
      </c>
      <c r="AQ2" s="608" t="s">
        <v>830</v>
      </c>
      <c r="AR2" s="608" t="s">
        <v>831</v>
      </c>
      <c r="AS2" s="608" t="s">
        <v>832</v>
      </c>
      <c r="AT2" s="60" t="s">
        <v>836</v>
      </c>
      <c r="AV2" s="608" t="s">
        <v>837</v>
      </c>
      <c r="AW2" s="608" t="s">
        <v>838</v>
      </c>
      <c r="AX2" s="608" t="s">
        <v>839</v>
      </c>
      <c r="AY2" s="60" t="s">
        <v>836</v>
      </c>
      <c r="BA2" s="608" t="s">
        <v>818</v>
      </c>
      <c r="BB2" s="608" t="s">
        <v>819</v>
      </c>
      <c r="BC2" s="608" t="s">
        <v>820</v>
      </c>
      <c r="BD2" s="60" t="s">
        <v>817</v>
      </c>
      <c r="BF2" s="608" t="s">
        <v>814</v>
      </c>
      <c r="BG2" s="608" t="s">
        <v>815</v>
      </c>
      <c r="BH2" s="608" t="s">
        <v>816</v>
      </c>
      <c r="BI2" s="60" t="s">
        <v>817</v>
      </c>
      <c r="BK2" s="608" t="s">
        <v>801</v>
      </c>
      <c r="BL2" s="608" t="s">
        <v>802</v>
      </c>
      <c r="BM2" s="608" t="s">
        <v>803</v>
      </c>
      <c r="BN2" s="60" t="s">
        <v>805</v>
      </c>
      <c r="BP2" s="608" t="s">
        <v>807</v>
      </c>
      <c r="BQ2" s="608" t="s">
        <v>808</v>
      </c>
      <c r="BR2" s="608" t="s">
        <v>809</v>
      </c>
      <c r="BS2" s="60" t="s">
        <v>805</v>
      </c>
      <c r="BU2" s="608" t="s">
        <v>783</v>
      </c>
      <c r="BV2" s="608" t="s">
        <v>784</v>
      </c>
      <c r="BW2" s="608" t="s">
        <v>785</v>
      </c>
      <c r="BX2" s="608" t="s">
        <v>787</v>
      </c>
      <c r="BZ2" s="608" t="s">
        <v>764</v>
      </c>
      <c r="CA2" s="608" t="s">
        <v>765</v>
      </c>
      <c r="CB2" s="608" t="s">
        <v>766</v>
      </c>
      <c r="CC2" s="608" t="s">
        <v>773</v>
      </c>
      <c r="CE2" s="608" t="s">
        <v>767</v>
      </c>
      <c r="CF2" s="608" t="s">
        <v>768</v>
      </c>
      <c r="CG2" s="608" t="s">
        <v>769</v>
      </c>
      <c r="CH2" s="608" t="str">
        <f>CC2</f>
        <v>Aktywa ogółem na dzień 
31 grudnia2022 / Total assets as of 31.12.2022</v>
      </c>
      <c r="CJ2" s="60" t="s">
        <v>734</v>
      </c>
      <c r="CK2" s="60" t="s">
        <v>735</v>
      </c>
      <c r="CL2" s="60" t="s">
        <v>736</v>
      </c>
      <c r="CM2" s="60" t="s">
        <v>737</v>
      </c>
      <c r="CO2" s="60" t="s">
        <v>738</v>
      </c>
      <c r="CP2" s="60" t="s">
        <v>739</v>
      </c>
      <c r="CQ2" s="60" t="s">
        <v>740</v>
      </c>
      <c r="CR2" s="60" t="str">
        <f>CM2</f>
        <v>Aktywa ogółem na dzień 
30 września 2022 / Total assets as of 30.09.2022</v>
      </c>
      <c r="CT2" s="60" t="s">
        <v>721</v>
      </c>
      <c r="CU2" s="60" t="s">
        <v>722</v>
      </c>
      <c r="CV2" s="60" t="s">
        <v>723</v>
      </c>
      <c r="CW2" s="60" t="s">
        <v>719</v>
      </c>
      <c r="CY2" s="60" t="s">
        <v>716</v>
      </c>
      <c r="CZ2" s="60" t="s">
        <v>717</v>
      </c>
      <c r="DA2" s="60" t="s">
        <v>718</v>
      </c>
      <c r="DB2" s="60" t="s">
        <v>719</v>
      </c>
      <c r="DD2" s="60" t="s">
        <v>703</v>
      </c>
      <c r="DE2" s="60" t="s">
        <v>704</v>
      </c>
      <c r="DF2" s="60" t="s">
        <v>705</v>
      </c>
      <c r="DG2" s="60" t="s">
        <v>706</v>
      </c>
      <c r="DI2" s="60" t="s">
        <v>671</v>
      </c>
      <c r="DJ2" s="60" t="s">
        <v>672</v>
      </c>
      <c r="DK2" s="60" t="s">
        <v>673</v>
      </c>
      <c r="DL2" s="60" t="s">
        <v>678</v>
      </c>
      <c r="DN2" s="60" t="s">
        <v>669</v>
      </c>
      <c r="DO2" s="60" t="s">
        <v>670</v>
      </c>
      <c r="DP2" s="60" t="s">
        <v>674</v>
      </c>
      <c r="DQ2" s="60" t="str">
        <f>DL2</f>
        <v>Aktywa ogółem na dzień 
31 grudnia 2021 / Total assets as of 31.12.2021</v>
      </c>
      <c r="DS2" s="60" t="s">
        <v>655</v>
      </c>
      <c r="DT2" s="60" t="s">
        <v>656</v>
      </c>
      <c r="DU2" s="60" t="s">
        <v>657</v>
      </c>
      <c r="DV2" s="60" t="s">
        <v>658</v>
      </c>
      <c r="DX2" s="60" t="s">
        <v>659</v>
      </c>
      <c r="DY2" s="60" t="s">
        <v>660</v>
      </c>
      <c r="DZ2" s="60" t="s">
        <v>661</v>
      </c>
      <c r="EA2" s="60" t="str">
        <f>DV2</f>
        <v>Aktywa ogółem na dzień 
30 września 2021 / Total assets as of 30.09.2021</v>
      </c>
      <c r="EC2" s="60" t="s">
        <v>646</v>
      </c>
      <c r="ED2" s="60" t="s">
        <v>647</v>
      </c>
      <c r="EE2" s="60" t="s">
        <v>648</v>
      </c>
      <c r="EF2" s="60" t="s">
        <v>649</v>
      </c>
      <c r="EH2" s="60" t="s">
        <v>643</v>
      </c>
      <c r="EI2" s="60" t="s">
        <v>644</v>
      </c>
      <c r="EJ2" s="60" t="s">
        <v>645</v>
      </c>
      <c r="EK2" s="60" t="str">
        <f>EF2</f>
        <v>Aktywa ogółem na dzień 
30 czerwca 2021 / Total assets as of 30.06.2021</v>
      </c>
      <c r="EM2" s="60" t="s">
        <v>635</v>
      </c>
      <c r="EN2" s="60" t="s">
        <v>636</v>
      </c>
      <c r="EO2" s="60" t="s">
        <v>637</v>
      </c>
      <c r="EP2" s="60" t="s">
        <v>638</v>
      </c>
      <c r="ER2" s="60" t="s">
        <v>614</v>
      </c>
      <c r="ES2" s="60" t="s">
        <v>615</v>
      </c>
      <c r="ET2" s="60" t="s">
        <v>616</v>
      </c>
      <c r="EU2" s="60" t="s">
        <v>623</v>
      </c>
      <c r="EW2" s="60" t="s">
        <v>617</v>
      </c>
      <c r="EX2" s="60" t="s">
        <v>618</v>
      </c>
      <c r="EY2" s="60" t="s">
        <v>619</v>
      </c>
      <c r="EZ2" s="60" t="str">
        <f>EU2</f>
        <v>Aktywa ogółem na dzień 
31 grudnia 2020 / Total assets as of 31.12.2020</v>
      </c>
      <c r="FB2" s="60" t="s">
        <v>599</v>
      </c>
      <c r="FC2" s="60" t="s">
        <v>600</v>
      </c>
      <c r="FD2" s="60" t="s">
        <v>601</v>
      </c>
      <c r="FE2" s="60" t="s">
        <v>602</v>
      </c>
      <c r="FG2" s="60" t="s">
        <v>603</v>
      </c>
      <c r="FH2" s="60" t="s">
        <v>604</v>
      </c>
      <c r="FI2" s="60" t="s">
        <v>605</v>
      </c>
      <c r="FJ2" s="60" t="str">
        <f>FE2</f>
        <v>Aktywa ogółem na dzień 
30 września 2020 / Total assets as of 30.09.2020</v>
      </c>
      <c r="FL2" s="60" t="s">
        <v>592</v>
      </c>
      <c r="FM2" s="60" t="s">
        <v>593</v>
      </c>
      <c r="FN2" s="60" t="s">
        <v>594</v>
      </c>
      <c r="FO2" s="60" t="s">
        <v>595</v>
      </c>
      <c r="FQ2" s="60" t="s">
        <v>587</v>
      </c>
      <c r="FR2" s="60" t="s">
        <v>589</v>
      </c>
      <c r="FS2" s="60" t="s">
        <v>590</v>
      </c>
      <c r="FT2" s="60" t="s">
        <v>595</v>
      </c>
      <c r="FV2" s="60" t="s">
        <v>577</v>
      </c>
      <c r="FW2" s="60" t="s">
        <v>578</v>
      </c>
      <c r="FX2" s="60" t="s">
        <v>579</v>
      </c>
      <c r="FY2" s="60" t="s">
        <v>580</v>
      </c>
      <c r="GA2" s="340" t="s">
        <v>567</v>
      </c>
      <c r="GB2" s="340" t="s">
        <v>568</v>
      </c>
      <c r="GC2" s="340" t="s">
        <v>569</v>
      </c>
      <c r="GD2" s="340" t="s">
        <v>570</v>
      </c>
      <c r="GF2" s="340" t="s">
        <v>571</v>
      </c>
      <c r="GG2" s="340" t="s">
        <v>572</v>
      </c>
      <c r="GH2" s="340" t="s">
        <v>573</v>
      </c>
      <c r="GI2" s="340" t="s">
        <v>570</v>
      </c>
      <c r="GK2" s="340" t="s">
        <v>552</v>
      </c>
      <c r="GL2" s="340" t="s">
        <v>553</v>
      </c>
      <c r="GM2" s="340" t="s">
        <v>554</v>
      </c>
      <c r="GN2" s="340" t="s">
        <v>555</v>
      </c>
      <c r="GP2" s="340" t="s">
        <v>556</v>
      </c>
      <c r="GQ2" s="340" t="s">
        <v>557</v>
      </c>
      <c r="GR2" s="340" t="s">
        <v>558</v>
      </c>
      <c r="GS2" s="340" t="s">
        <v>555</v>
      </c>
      <c r="GV2" s="340" t="s">
        <v>544</v>
      </c>
      <c r="GW2" s="340" t="s">
        <v>545</v>
      </c>
      <c r="GX2" s="340" t="s">
        <v>546</v>
      </c>
      <c r="GY2" s="340" t="s">
        <v>539</v>
      </c>
      <c r="HA2" s="340" t="s">
        <v>540</v>
      </c>
      <c r="HB2" s="340" t="s">
        <v>541</v>
      </c>
      <c r="HC2" s="340" t="s">
        <v>542</v>
      </c>
      <c r="HD2" s="340" t="s">
        <v>539</v>
      </c>
      <c r="HF2" s="340" t="s">
        <v>529</v>
      </c>
      <c r="HG2" s="340" t="s">
        <v>530</v>
      </c>
      <c r="HH2" s="340" t="s">
        <v>531</v>
      </c>
      <c r="HI2" s="340" t="s">
        <v>532</v>
      </c>
      <c r="HK2" s="340" t="s">
        <v>516</v>
      </c>
      <c r="HL2" s="340" t="s">
        <v>517</v>
      </c>
      <c r="HM2" s="340" t="s">
        <v>518</v>
      </c>
      <c r="HN2" s="340" t="s">
        <v>519</v>
      </c>
      <c r="HP2" s="340" t="s">
        <v>522</v>
      </c>
      <c r="HQ2" s="340" t="s">
        <v>523</v>
      </c>
      <c r="HR2" s="340" t="s">
        <v>524</v>
      </c>
      <c r="HS2" s="340" t="s">
        <v>504</v>
      </c>
      <c r="HU2" s="340" t="s">
        <v>501</v>
      </c>
      <c r="HV2" s="340" t="s">
        <v>502</v>
      </c>
      <c r="HW2" s="340" t="s">
        <v>503</v>
      </c>
      <c r="HX2" s="340" t="s">
        <v>504</v>
      </c>
      <c r="HZ2" s="340" t="s">
        <v>505</v>
      </c>
      <c r="IA2" s="340" t="s">
        <v>506</v>
      </c>
      <c r="IB2" s="340" t="s">
        <v>507</v>
      </c>
      <c r="IC2" s="340" t="s">
        <v>504</v>
      </c>
      <c r="IE2" s="177" t="s">
        <v>492</v>
      </c>
      <c r="IF2" s="177" t="s">
        <v>493</v>
      </c>
      <c r="IG2" s="177" t="s">
        <v>494</v>
      </c>
      <c r="IH2" s="177" t="s">
        <v>460</v>
      </c>
      <c r="IJ2" s="177" t="s">
        <v>457</v>
      </c>
      <c r="IK2" s="177" t="s">
        <v>458</v>
      </c>
      <c r="IL2" s="177" t="s">
        <v>459</v>
      </c>
      <c r="IM2" s="177" t="s">
        <v>460</v>
      </c>
      <c r="IO2" s="177" t="s">
        <v>109</v>
      </c>
      <c r="IP2" s="177" t="s">
        <v>110</v>
      </c>
      <c r="IQ2" s="177" t="s">
        <v>112</v>
      </c>
      <c r="IR2" s="177" t="s">
        <v>114</v>
      </c>
      <c r="IT2" s="177" t="s">
        <v>201</v>
      </c>
      <c r="IU2" s="177" t="s">
        <v>123</v>
      </c>
      <c r="IV2" s="177" t="s">
        <v>124</v>
      </c>
      <c r="IW2" s="177" t="s">
        <v>128</v>
      </c>
      <c r="IY2" s="177" t="s">
        <v>116</v>
      </c>
      <c r="IZ2" s="177" t="s">
        <v>117</v>
      </c>
      <c r="JA2" s="177" t="s">
        <v>119</v>
      </c>
      <c r="JB2" s="177" t="s">
        <v>121</v>
      </c>
      <c r="JC2" s="157"/>
      <c r="JD2" s="177" t="s">
        <v>363</v>
      </c>
      <c r="JE2" s="177" t="s">
        <v>366</v>
      </c>
      <c r="JF2" s="177" t="s">
        <v>367</v>
      </c>
      <c r="JG2" s="177" t="s">
        <v>134</v>
      </c>
      <c r="JH2" s="177"/>
      <c r="JI2" s="177" t="s">
        <v>129</v>
      </c>
      <c r="JJ2" s="177" t="s">
        <v>130</v>
      </c>
      <c r="JK2" s="177" t="s">
        <v>132</v>
      </c>
      <c r="JL2" s="177" t="s">
        <v>134</v>
      </c>
      <c r="JM2" s="157"/>
      <c r="JN2" s="177" t="s">
        <v>144</v>
      </c>
      <c r="JO2" s="177" t="s">
        <v>146</v>
      </c>
      <c r="JP2" s="177" t="s">
        <v>148</v>
      </c>
      <c r="JQ2" s="177" t="s">
        <v>142</v>
      </c>
      <c r="JR2" s="157"/>
      <c r="JS2" s="177" t="s">
        <v>136</v>
      </c>
      <c r="JT2" s="177" t="s">
        <v>138</v>
      </c>
      <c r="JU2" s="177" t="s">
        <v>140</v>
      </c>
      <c r="JV2" s="177" t="s">
        <v>142</v>
      </c>
      <c r="JW2" s="157"/>
      <c r="JX2" s="177" t="s">
        <v>150</v>
      </c>
      <c r="JY2" s="177" t="s">
        <v>152</v>
      </c>
      <c r="JZ2" s="177" t="s">
        <v>113</v>
      </c>
      <c r="KA2" s="177" t="s">
        <v>115</v>
      </c>
      <c r="KB2" s="157"/>
      <c r="KC2" s="177" t="s">
        <v>155</v>
      </c>
      <c r="KD2" s="177" t="s">
        <v>125</v>
      </c>
      <c r="KE2" s="177" t="s">
        <v>126</v>
      </c>
      <c r="KF2" s="177" t="s">
        <v>143</v>
      </c>
      <c r="KG2" s="157"/>
      <c r="KH2" s="177" t="s">
        <v>491</v>
      </c>
      <c r="KI2" s="177" t="s">
        <v>332</v>
      </c>
      <c r="KJ2" s="177" t="s">
        <v>490</v>
      </c>
      <c r="KK2" s="177" t="s">
        <v>143</v>
      </c>
      <c r="KL2" s="157"/>
      <c r="KM2" s="177" t="s">
        <v>333</v>
      </c>
      <c r="KN2" s="177" t="s">
        <v>334</v>
      </c>
      <c r="KO2" s="177" t="s">
        <v>335</v>
      </c>
      <c r="KP2" s="177" t="s">
        <v>135</v>
      </c>
      <c r="KQ2" s="157"/>
      <c r="KR2" s="177" t="s">
        <v>339</v>
      </c>
      <c r="KS2" s="177" t="s">
        <v>340</v>
      </c>
      <c r="KT2" s="177" t="s">
        <v>489</v>
      </c>
      <c r="KU2" s="177" t="s">
        <v>135</v>
      </c>
      <c r="KV2" s="157"/>
      <c r="KW2" s="177" t="s">
        <v>344</v>
      </c>
      <c r="KX2" s="177" t="s">
        <v>488</v>
      </c>
      <c r="KY2" s="177" t="s">
        <v>487</v>
      </c>
      <c r="KZ2" s="177" t="s">
        <v>161</v>
      </c>
      <c r="LA2" s="157"/>
      <c r="LB2" s="177" t="s">
        <v>137</v>
      </c>
      <c r="LC2" s="177" t="s">
        <v>345</v>
      </c>
      <c r="LD2" s="177" t="s">
        <v>486</v>
      </c>
      <c r="LE2" s="177" t="s">
        <v>161</v>
      </c>
      <c r="LF2" s="157"/>
      <c r="LG2" s="177" t="s">
        <v>151</v>
      </c>
      <c r="LH2" s="177" t="s">
        <v>348</v>
      </c>
      <c r="LI2" s="177" t="s">
        <v>485</v>
      </c>
      <c r="LJ2" s="177" t="s">
        <v>164</v>
      </c>
      <c r="LK2" s="157"/>
      <c r="LL2" s="177" t="s">
        <v>165</v>
      </c>
      <c r="LM2" s="177" t="s">
        <v>166</v>
      </c>
      <c r="LN2" s="177" t="s">
        <v>167</v>
      </c>
      <c r="LO2" s="177" t="s">
        <v>168</v>
      </c>
      <c r="LP2" s="157"/>
      <c r="LQ2" s="177" t="s">
        <v>483</v>
      </c>
      <c r="LR2" s="177" t="s">
        <v>481</v>
      </c>
      <c r="LS2" s="177" t="s">
        <v>479</v>
      </c>
      <c r="LT2" s="177" t="s">
        <v>168</v>
      </c>
      <c r="LU2" s="178"/>
      <c r="LV2" s="177" t="s">
        <v>351</v>
      </c>
      <c r="LW2" s="177" t="s">
        <v>355</v>
      </c>
      <c r="LX2" s="177" t="s">
        <v>369</v>
      </c>
      <c r="LY2" s="177" t="s">
        <v>160</v>
      </c>
      <c r="LZ2" s="157"/>
      <c r="MA2" s="177" t="s">
        <v>477</v>
      </c>
      <c r="MB2" s="177" t="s">
        <v>475</v>
      </c>
      <c r="MC2" s="177" t="s">
        <v>473</v>
      </c>
      <c r="MD2" s="177" t="s">
        <v>160</v>
      </c>
      <c r="ME2" s="157"/>
      <c r="MF2" s="177" t="s">
        <v>343</v>
      </c>
      <c r="MG2" s="177" t="s">
        <v>471</v>
      </c>
      <c r="MH2" s="177" t="s">
        <v>469</v>
      </c>
      <c r="MI2" s="177" t="s">
        <v>174</v>
      </c>
      <c r="MJ2" s="157"/>
      <c r="MK2" s="177" t="s">
        <v>467</v>
      </c>
      <c r="ML2" s="177" t="s">
        <v>463</v>
      </c>
      <c r="MM2" s="177" t="s">
        <v>464</v>
      </c>
      <c r="MN2" s="177" t="s">
        <v>174</v>
      </c>
      <c r="MO2" s="157"/>
      <c r="MP2" s="177" t="s">
        <v>461</v>
      </c>
      <c r="MQ2" s="177" t="s">
        <v>357</v>
      </c>
      <c r="MR2" s="177" t="s">
        <v>462</v>
      </c>
      <c r="MS2" s="177" t="s">
        <v>176</v>
      </c>
      <c r="MT2" s="157"/>
      <c r="MU2" s="178" t="s">
        <v>372</v>
      </c>
      <c r="MV2" s="179" t="s">
        <v>178</v>
      </c>
      <c r="MW2" s="179" t="s">
        <v>89</v>
      </c>
      <c r="MX2" s="179" t="s">
        <v>90</v>
      </c>
      <c r="MY2" s="179" t="s">
        <v>179</v>
      </c>
      <c r="MZ2" s="157"/>
      <c r="NA2" s="179" t="s">
        <v>352</v>
      </c>
      <c r="NB2" s="179" t="s">
        <v>96</v>
      </c>
      <c r="NC2" s="179" t="s">
        <v>97</v>
      </c>
      <c r="ND2" s="179" t="s">
        <v>191</v>
      </c>
      <c r="NE2" s="157"/>
      <c r="NF2" s="179" t="s">
        <v>195</v>
      </c>
      <c r="NG2" s="179" t="s">
        <v>104</v>
      </c>
      <c r="NH2" s="179" t="s">
        <v>105</v>
      </c>
      <c r="NI2" s="179" t="s">
        <v>196</v>
      </c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  <c r="NY2" s="157"/>
      <c r="NZ2" s="157"/>
      <c r="OA2" s="157"/>
      <c r="OB2" s="157"/>
      <c r="OC2" s="157"/>
      <c r="OD2" s="157"/>
      <c r="OE2" s="157"/>
      <c r="OF2" s="157"/>
      <c r="OG2" s="157"/>
      <c r="OH2" s="157"/>
      <c r="OI2" s="157"/>
      <c r="OJ2" s="157"/>
      <c r="OK2" s="157"/>
      <c r="OL2" s="157"/>
      <c r="OM2" s="157"/>
      <c r="ON2" s="157"/>
      <c r="OO2" s="157"/>
      <c r="OP2" s="157"/>
      <c r="OQ2" s="157"/>
      <c r="OR2" s="157"/>
      <c r="OS2" s="157"/>
      <c r="OT2" s="157"/>
      <c r="OU2" s="157"/>
      <c r="OV2" s="157"/>
      <c r="OW2" s="157"/>
      <c r="OX2" s="157"/>
      <c r="OY2" s="157"/>
      <c r="OZ2" s="157"/>
      <c r="PA2" s="157"/>
    </row>
    <row r="3" spans="1:417">
      <c r="A3" s="306" t="s">
        <v>77</v>
      </c>
      <c r="D3" s="609"/>
      <c r="E3" s="609"/>
      <c r="F3" s="609"/>
      <c r="H3" s="609"/>
      <c r="I3" s="609"/>
      <c r="J3" s="609"/>
      <c r="K3" s="609"/>
      <c r="M3" s="609"/>
      <c r="N3" s="609"/>
      <c r="O3" s="609"/>
      <c r="P3" s="609"/>
      <c r="R3" s="609"/>
      <c r="S3" s="609"/>
      <c r="T3" s="609"/>
      <c r="U3" s="609"/>
      <c r="W3" s="609"/>
      <c r="X3" s="609"/>
      <c r="Y3" s="609"/>
      <c r="Z3" s="609"/>
      <c r="AB3" s="609"/>
      <c r="AC3" s="609"/>
      <c r="AD3" s="609"/>
      <c r="AE3" s="609"/>
      <c r="AG3" s="609"/>
      <c r="AH3" s="609"/>
      <c r="AI3" s="609"/>
      <c r="AJ3" s="609"/>
      <c r="AL3" s="609"/>
      <c r="AM3" s="609"/>
      <c r="AN3" s="609"/>
      <c r="AO3" s="609"/>
      <c r="AQ3" s="609"/>
      <c r="AR3" s="609"/>
      <c r="AS3" s="609"/>
      <c r="AT3" s="609"/>
      <c r="AV3" s="609"/>
      <c r="AW3" s="609"/>
      <c r="AX3" s="609"/>
      <c r="AY3" s="609"/>
      <c r="BA3" s="609"/>
      <c r="BB3" s="609"/>
      <c r="BC3" s="609"/>
      <c r="BD3" s="609"/>
      <c r="BF3" s="609"/>
      <c r="BG3" s="609"/>
      <c r="BH3" s="609"/>
      <c r="BI3" s="609"/>
      <c r="BK3" s="609"/>
      <c r="BL3" s="609"/>
      <c r="BM3" s="609"/>
      <c r="BN3" s="609"/>
      <c r="BP3" s="609"/>
      <c r="BQ3" s="609"/>
      <c r="BR3" s="609"/>
      <c r="BS3" s="609"/>
      <c r="BU3" s="609"/>
      <c r="BV3" s="609"/>
      <c r="BW3" s="609"/>
      <c r="BX3" s="609"/>
      <c r="BZ3" s="609">
        <v>0</v>
      </c>
      <c r="CA3" s="609">
        <v>0</v>
      </c>
      <c r="CB3" s="609">
        <v>0</v>
      </c>
      <c r="CC3" s="609">
        <v>0</v>
      </c>
      <c r="CE3" s="609"/>
      <c r="CF3" s="609"/>
      <c r="CG3" s="609"/>
      <c r="CH3" s="609"/>
      <c r="CJ3" s="336">
        <v>444000</v>
      </c>
      <c r="CK3" s="336">
        <v>-53000</v>
      </c>
      <c r="CL3" s="336">
        <v>-81000</v>
      </c>
      <c r="CM3" s="336">
        <f t="shared" ref="CM3:CM9" si="0">CR3</f>
        <v>900000</v>
      </c>
      <c r="CO3" s="336">
        <v>1639000</v>
      </c>
      <c r="CP3" s="336">
        <v>271000</v>
      </c>
      <c r="CQ3" s="336">
        <v>57000</v>
      </c>
      <c r="CR3" s="336">
        <v>900000</v>
      </c>
      <c r="CT3" s="336">
        <f t="shared" ref="CT3:CV9" si="1">CY3-DD3</f>
        <v>637000</v>
      </c>
      <c r="CU3" s="336">
        <f t="shared" si="1"/>
        <v>207000</v>
      </c>
      <c r="CV3" s="336">
        <f t="shared" si="1"/>
        <v>73000</v>
      </c>
      <c r="CW3" s="336">
        <v>766000</v>
      </c>
      <c r="CY3" s="336">
        <v>1195000</v>
      </c>
      <c r="CZ3" s="336">
        <v>324000</v>
      </c>
      <c r="DA3" s="336">
        <v>138000</v>
      </c>
      <c r="DB3" s="336">
        <v>766000</v>
      </c>
      <c r="DD3" s="336">
        <v>558000</v>
      </c>
      <c r="DE3" s="336">
        <v>117000</v>
      </c>
      <c r="DF3" s="336">
        <v>65000</v>
      </c>
      <c r="DG3" s="336">
        <v>915000</v>
      </c>
      <c r="DI3" s="336">
        <f t="shared" ref="DI3:DK9" si="2">DN3-DX3</f>
        <v>476951</v>
      </c>
      <c r="DJ3" s="336">
        <f t="shared" si="2"/>
        <v>44292</v>
      </c>
      <c r="DK3" s="336">
        <f t="shared" si="2"/>
        <v>1650</v>
      </c>
      <c r="DL3" s="336">
        <f t="shared" ref="DL3:DL9" si="3">DQ3</f>
        <v>899000</v>
      </c>
      <c r="DN3" s="336">
        <v>1467000</v>
      </c>
      <c r="DO3" s="336">
        <v>-130000</v>
      </c>
      <c r="DP3" s="336">
        <v>-458000</v>
      </c>
      <c r="DQ3" s="336">
        <v>899000</v>
      </c>
      <c r="DS3" s="336">
        <f t="shared" ref="DS3:DU9" si="4">DX3-EH3</f>
        <v>410046</v>
      </c>
      <c r="DT3" s="336">
        <f t="shared" si="4"/>
        <v>-128865</v>
      </c>
      <c r="DU3" s="336">
        <f t="shared" si="4"/>
        <v>-138814</v>
      </c>
      <c r="DV3" s="336">
        <f t="shared" ref="DV3:DV9" si="5">EA3</f>
        <v>913954</v>
      </c>
      <c r="DX3" s="336">
        <v>990049</v>
      </c>
      <c r="DY3" s="336">
        <v>-174292</v>
      </c>
      <c r="DZ3" s="336">
        <v>-459650</v>
      </c>
      <c r="EA3" s="336">
        <v>913954</v>
      </c>
      <c r="EC3" s="336">
        <f t="shared" ref="EC3:EE9" si="6">EH3-EM3</f>
        <v>277409</v>
      </c>
      <c r="ED3" s="336">
        <f t="shared" si="6"/>
        <v>-31805</v>
      </c>
      <c r="EE3" s="336">
        <f t="shared" si="6"/>
        <v>-270980</v>
      </c>
      <c r="EF3" s="336">
        <f t="shared" ref="EF3:EF9" si="7">EK3</f>
        <v>992426</v>
      </c>
      <c r="EH3" s="336">
        <v>580003</v>
      </c>
      <c r="EI3" s="336">
        <v>-45427</v>
      </c>
      <c r="EJ3" s="336">
        <v>-320836</v>
      </c>
      <c r="EK3" s="336">
        <v>992426</v>
      </c>
      <c r="EM3" s="336">
        <v>302594</v>
      </c>
      <c r="EN3" s="336">
        <v>-13622</v>
      </c>
      <c r="EO3" s="336">
        <v>-49856</v>
      </c>
      <c r="EP3" s="336">
        <v>1170623</v>
      </c>
      <c r="ER3" s="336">
        <f t="shared" ref="ER3:ET10" si="8">EW3-FG3</f>
        <v>263199</v>
      </c>
      <c r="ES3" s="336">
        <f t="shared" si="8"/>
        <v>-124915</v>
      </c>
      <c r="ET3" s="336">
        <f t="shared" si="8"/>
        <v>-538919</v>
      </c>
      <c r="EU3" s="336">
        <f t="shared" ref="EU3:EU10" si="9">EZ3</f>
        <v>1115883</v>
      </c>
      <c r="EW3" s="336">
        <v>1051923</v>
      </c>
      <c r="EX3" s="336">
        <v>-157321</v>
      </c>
      <c r="EY3" s="336">
        <v>-886665</v>
      </c>
      <c r="EZ3" s="336">
        <v>1115883</v>
      </c>
      <c r="FB3" s="336">
        <v>285753</v>
      </c>
      <c r="FC3" s="336">
        <v>-39185</v>
      </c>
      <c r="FD3" s="336">
        <v>-76441</v>
      </c>
      <c r="FE3" s="336">
        <f t="shared" ref="FE3:FE10" si="10">FJ3</f>
        <v>1441598</v>
      </c>
      <c r="FG3" s="336">
        <v>788724</v>
      </c>
      <c r="FH3" s="336">
        <v>-32406</v>
      </c>
      <c r="FI3" s="336">
        <v>-347746</v>
      </c>
      <c r="FJ3" s="336">
        <v>1441598</v>
      </c>
      <c r="FL3" s="336">
        <f t="shared" ref="FL3:FN10" si="11">FQ3-FV3</f>
        <v>266547</v>
      </c>
      <c r="FM3" s="337">
        <f t="shared" si="11"/>
        <v>43134</v>
      </c>
      <c r="FN3" s="336">
        <f t="shared" si="11"/>
        <v>-187414</v>
      </c>
      <c r="FO3" s="336">
        <v>1390938</v>
      </c>
      <c r="FQ3" s="336">
        <v>502971</v>
      </c>
      <c r="FR3" s="337">
        <v>6779</v>
      </c>
      <c r="FS3" s="336">
        <v>-271305</v>
      </c>
      <c r="FT3" s="336">
        <v>1390938</v>
      </c>
      <c r="FV3" s="336">
        <v>236424</v>
      </c>
      <c r="FW3" s="337">
        <v>-36355</v>
      </c>
      <c r="FX3" s="336">
        <v>-83891</v>
      </c>
      <c r="FY3" s="336">
        <v>1407752</v>
      </c>
      <c r="GA3" s="341">
        <v>944433</v>
      </c>
      <c r="GB3" s="342">
        <v>-499865</v>
      </c>
      <c r="GC3" s="341">
        <v>-1391949</v>
      </c>
      <c r="GD3" s="341">
        <v>1294329</v>
      </c>
      <c r="GF3" s="341">
        <v>211025</v>
      </c>
      <c r="GG3" s="342">
        <v>-238211</v>
      </c>
      <c r="GH3" s="341">
        <v>-715608</v>
      </c>
      <c r="GI3" s="341">
        <v>1294329</v>
      </c>
      <c r="GK3" s="341">
        <v>733408</v>
      </c>
      <c r="GL3" s="342">
        <v>-261654</v>
      </c>
      <c r="GM3" s="341">
        <v>-676341</v>
      </c>
      <c r="GN3" s="341">
        <v>1608857</v>
      </c>
      <c r="GP3" s="341">
        <v>201718</v>
      </c>
      <c r="GQ3" s="342">
        <v>-118717</v>
      </c>
      <c r="GR3" s="341">
        <v>-165004</v>
      </c>
      <c r="GS3" s="341">
        <v>1608857</v>
      </c>
      <c r="GV3" s="341">
        <v>531690</v>
      </c>
      <c r="GW3" s="342">
        <v>-142937</v>
      </c>
      <c r="GX3" s="341">
        <v>-511337</v>
      </c>
      <c r="GY3" s="341">
        <v>1544654</v>
      </c>
      <c r="HA3" s="341">
        <v>239824</v>
      </c>
      <c r="HB3" s="342">
        <v>-98651</v>
      </c>
      <c r="HC3" s="341">
        <v>-415418</v>
      </c>
      <c r="HD3" s="341">
        <v>1544654</v>
      </c>
      <c r="HF3" s="341">
        <v>291866</v>
      </c>
      <c r="HG3" s="342">
        <v>-44286</v>
      </c>
      <c r="HH3" s="341">
        <v>-95919</v>
      </c>
      <c r="HI3" s="341">
        <v>1743682</v>
      </c>
      <c r="HK3" s="341">
        <v>1266024</v>
      </c>
      <c r="HL3" s="341">
        <v>-207181</v>
      </c>
      <c r="HM3" s="341">
        <v>-1053469</v>
      </c>
      <c r="HN3" s="341">
        <v>1589823</v>
      </c>
      <c r="HP3" s="341">
        <v>314649</v>
      </c>
      <c r="HQ3" s="342">
        <v>-112725</v>
      </c>
      <c r="HR3" s="341">
        <v>-136788</v>
      </c>
      <c r="HS3" s="341">
        <v>1589823</v>
      </c>
      <c r="HU3" s="341">
        <v>951375</v>
      </c>
      <c r="HV3" s="342">
        <v>-94456</v>
      </c>
      <c r="HW3" s="341">
        <v>-916681</v>
      </c>
      <c r="HX3" s="341">
        <v>1487764</v>
      </c>
      <c r="HZ3" s="341">
        <v>272589</v>
      </c>
      <c r="IA3" s="342">
        <v>-28789</v>
      </c>
      <c r="IB3" s="341">
        <v>-50515</v>
      </c>
      <c r="IC3" s="341">
        <v>1487764</v>
      </c>
      <c r="IE3" s="166">
        <v>678786</v>
      </c>
      <c r="IF3" s="319">
        <v>-65667</v>
      </c>
      <c r="IG3" s="166">
        <v>-866166</v>
      </c>
      <c r="IH3" s="166">
        <v>1397631</v>
      </c>
      <c r="IJ3" s="166">
        <v>293543</v>
      </c>
      <c r="IK3" s="319">
        <v>-76005</v>
      </c>
      <c r="IL3" s="166">
        <v>-842790</v>
      </c>
      <c r="IM3" s="166">
        <v>1397631</v>
      </c>
      <c r="IO3" s="156">
        <v>385243</v>
      </c>
      <c r="IP3" s="183">
        <v>10338</v>
      </c>
      <c r="IQ3" s="156">
        <v>-23376</v>
      </c>
      <c r="IR3" s="156">
        <v>2126068</v>
      </c>
      <c r="IT3" s="156">
        <v>1541425</v>
      </c>
      <c r="IU3" s="156">
        <v>-83036</v>
      </c>
      <c r="IV3" s="156">
        <v>-211070</v>
      </c>
      <c r="IW3" s="156">
        <v>2085538</v>
      </c>
      <c r="IY3" s="156">
        <v>422958</v>
      </c>
      <c r="IZ3" s="183">
        <v>-41352</v>
      </c>
      <c r="JA3" s="156">
        <v>-75834</v>
      </c>
      <c r="JB3" s="156">
        <v>2085538</v>
      </c>
      <c r="JC3" s="157"/>
      <c r="JD3" s="156">
        <v>1118467</v>
      </c>
      <c r="JE3" s="156">
        <v>-41684</v>
      </c>
      <c r="JF3" s="156">
        <v>-135236</v>
      </c>
      <c r="JG3" s="156">
        <v>2009687</v>
      </c>
      <c r="JH3" s="156"/>
      <c r="JI3" s="156">
        <v>336783</v>
      </c>
      <c r="JJ3" s="156">
        <v>-36968</v>
      </c>
      <c r="JK3" s="156">
        <v>-69420</v>
      </c>
      <c r="JL3" s="156">
        <v>2009687</v>
      </c>
      <c r="JM3" s="157"/>
      <c r="JN3" s="156">
        <v>781684</v>
      </c>
      <c r="JO3" s="156">
        <v>-4716</v>
      </c>
      <c r="JP3" s="156">
        <v>-65816</v>
      </c>
      <c r="JQ3" s="156">
        <v>2020059</v>
      </c>
      <c r="JR3" s="157"/>
      <c r="JS3" s="156">
        <f t="shared" ref="JS3:JU9" si="12">JN3-JX3</f>
        <v>397591</v>
      </c>
      <c r="JT3" s="156">
        <f t="shared" si="12"/>
        <v>24737</v>
      </c>
      <c r="JU3" s="156">
        <f t="shared" si="12"/>
        <v>-6171</v>
      </c>
      <c r="JV3" s="156">
        <f>KA3</f>
        <v>2011921</v>
      </c>
      <c r="JW3" s="157"/>
      <c r="JX3" s="156">
        <v>384093</v>
      </c>
      <c r="JY3" s="156">
        <v>-29453</v>
      </c>
      <c r="JZ3" s="156">
        <v>-59645</v>
      </c>
      <c r="KA3" s="156">
        <v>2011921</v>
      </c>
      <c r="KB3" s="157"/>
      <c r="KC3" s="156">
        <v>1311143</v>
      </c>
      <c r="KD3" s="156">
        <v>-82130</v>
      </c>
      <c r="KE3" s="156">
        <v>-205163</v>
      </c>
      <c r="KF3" s="156">
        <v>2069263</v>
      </c>
      <c r="KG3" s="157"/>
      <c r="KH3" s="156">
        <v>423619</v>
      </c>
      <c r="KI3" s="156">
        <v>54528</v>
      </c>
      <c r="KJ3" s="156">
        <v>23540</v>
      </c>
      <c r="KK3" s="156">
        <v>2069263</v>
      </c>
      <c r="KL3" s="157"/>
      <c r="KM3" s="156">
        <v>887524</v>
      </c>
      <c r="KN3" s="156">
        <v>-136658</v>
      </c>
      <c r="KO3" s="156">
        <v>-228703</v>
      </c>
      <c r="KP3" s="156">
        <v>1949034</v>
      </c>
      <c r="KQ3" s="157"/>
      <c r="KR3" s="156">
        <v>375392</v>
      </c>
      <c r="KS3" s="156">
        <v>32590</v>
      </c>
      <c r="KT3" s="156">
        <v>1833</v>
      </c>
      <c r="KU3" s="156">
        <v>1949034</v>
      </c>
      <c r="KV3" s="157"/>
      <c r="KW3" s="156">
        <v>512132</v>
      </c>
      <c r="KX3" s="156">
        <v>-169248</v>
      </c>
      <c r="KY3" s="156">
        <v>-230536</v>
      </c>
      <c r="KZ3" s="156">
        <v>1954277</v>
      </c>
      <c r="LA3" s="157"/>
      <c r="LB3" s="156">
        <v>257978</v>
      </c>
      <c r="LC3" s="156">
        <v>-104490</v>
      </c>
      <c r="LD3" s="156">
        <v>-127029</v>
      </c>
      <c r="LE3" s="156">
        <v>1954277</v>
      </c>
      <c r="LF3" s="157"/>
      <c r="LG3" s="156">
        <v>254154</v>
      </c>
      <c r="LH3" s="156">
        <v>-64758</v>
      </c>
      <c r="LI3" s="156">
        <v>-103507</v>
      </c>
      <c r="LJ3" s="156">
        <v>1952787</v>
      </c>
      <c r="LK3" s="157"/>
      <c r="LL3" s="156">
        <v>1205944</v>
      </c>
      <c r="LM3" s="156">
        <v>9137</v>
      </c>
      <c r="LN3" s="156">
        <v>-104328</v>
      </c>
      <c r="LO3" s="156">
        <v>1657407</v>
      </c>
      <c r="LP3" s="163"/>
      <c r="LQ3" s="156">
        <v>331130</v>
      </c>
      <c r="LR3" s="156">
        <v>32369</v>
      </c>
      <c r="LS3" s="156">
        <v>3251</v>
      </c>
      <c r="LT3" s="156">
        <v>1657407</v>
      </c>
      <c r="LU3" s="163"/>
      <c r="LV3" s="156">
        <v>874814</v>
      </c>
      <c r="LW3" s="156">
        <v>-23232</v>
      </c>
      <c r="LX3" s="156">
        <v>-107579</v>
      </c>
      <c r="LY3" s="156">
        <v>1691191</v>
      </c>
      <c r="LZ3" s="157"/>
      <c r="MA3" s="156">
        <v>332863</v>
      </c>
      <c r="MB3" s="156">
        <v>134670</v>
      </c>
      <c r="MC3" s="156">
        <v>106686</v>
      </c>
      <c r="MD3" s="156">
        <v>1691191</v>
      </c>
      <c r="ME3" s="157"/>
      <c r="MF3" s="156">
        <v>541951</v>
      </c>
      <c r="MG3" s="156">
        <v>-157903</v>
      </c>
      <c r="MH3" s="156">
        <v>-214265</v>
      </c>
      <c r="MI3" s="156">
        <v>1728184</v>
      </c>
      <c r="MJ3" s="157"/>
      <c r="MK3" s="156">
        <v>273192</v>
      </c>
      <c r="ML3" s="156">
        <v>-113717</v>
      </c>
      <c r="MM3" s="156">
        <v>-142220</v>
      </c>
      <c r="MN3" s="156">
        <v>1728184</v>
      </c>
      <c r="MO3" s="157"/>
      <c r="MP3" s="156">
        <v>268759</v>
      </c>
      <c r="MQ3" s="156">
        <v>-44186</v>
      </c>
      <c r="MR3" s="156">
        <v>-72045</v>
      </c>
      <c r="MS3" s="156">
        <v>1773973</v>
      </c>
      <c r="MT3" s="157"/>
      <c r="MU3" s="164" t="s">
        <v>81</v>
      </c>
      <c r="MV3" s="162">
        <v>1194024</v>
      </c>
      <c r="MW3" s="162">
        <v>98412</v>
      </c>
      <c r="MX3" s="162">
        <v>-6829</v>
      </c>
      <c r="MY3" s="162">
        <v>1742510</v>
      </c>
      <c r="MZ3" s="157"/>
      <c r="NA3" s="162">
        <v>870843</v>
      </c>
      <c r="NB3" s="162">
        <v>83480</v>
      </c>
      <c r="NC3" s="162">
        <v>5347</v>
      </c>
      <c r="ND3" s="162">
        <v>1666780</v>
      </c>
      <c r="NE3" s="157"/>
      <c r="NF3" s="162">
        <v>529412</v>
      </c>
      <c r="NG3" s="162">
        <v>28174</v>
      </c>
      <c r="NH3" s="162">
        <v>-23785</v>
      </c>
      <c r="NI3" s="162">
        <v>1640587</v>
      </c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  <c r="NY3" s="157"/>
      <c r="NZ3" s="157"/>
      <c r="OA3" s="157"/>
      <c r="OB3" s="157"/>
      <c r="OC3" s="157"/>
      <c r="OD3" s="157"/>
      <c r="OE3" s="157"/>
      <c r="OF3" s="157"/>
      <c r="OG3" s="157"/>
      <c r="OH3" s="157"/>
      <c r="OI3" s="157"/>
      <c r="OJ3" s="157"/>
      <c r="OK3" s="157"/>
      <c r="OL3" s="157"/>
      <c r="OM3" s="157"/>
      <c r="ON3" s="157"/>
      <c r="OO3" s="157"/>
      <c r="OP3" s="157"/>
      <c r="OQ3" s="157"/>
      <c r="OR3" s="157"/>
      <c r="OS3" s="157"/>
      <c r="OT3" s="157"/>
      <c r="OU3" s="157"/>
      <c r="OV3" s="157"/>
      <c r="OW3" s="157"/>
      <c r="OX3" s="157"/>
      <c r="OY3" s="157"/>
      <c r="OZ3" s="157"/>
      <c r="PA3" s="157"/>
    </row>
    <row r="4" spans="1:417">
      <c r="A4" s="466" t="s">
        <v>582</v>
      </c>
      <c r="C4" s="610">
        <f>([3]segmenty!$B$9)*1000</f>
        <v>2220000</v>
      </c>
      <c r="D4" s="610">
        <f>([3]segmenty!$B$34)*1000</f>
        <v>295000</v>
      </c>
      <c r="E4" s="610">
        <f>([3]segmenty!$B$31)*1000</f>
        <v>242000</v>
      </c>
      <c r="F4" s="610">
        <f>([3]segmenty!$B$25)*1000</f>
        <v>4553000</v>
      </c>
      <c r="H4" s="610">
        <f>[4]segmenty!$B$9*1000</f>
        <v>8215000</v>
      </c>
      <c r="I4" s="610"/>
      <c r="J4" s="610"/>
      <c r="K4" s="610"/>
      <c r="M4" s="610">
        <f t="shared" ref="M4:O11" si="13">H4-R4</f>
        <v>2562000</v>
      </c>
      <c r="N4" s="610">
        <f t="shared" si="13"/>
        <v>-309000</v>
      </c>
      <c r="O4" s="610">
        <f t="shared" si="13"/>
        <v>1374000</v>
      </c>
      <c r="P4" s="610">
        <f t="shared" ref="P4:P11" si="14">K4</f>
        <v>0</v>
      </c>
      <c r="R4" s="610">
        <f>([5]segmenty!$B$9)*1000</f>
        <v>5653000</v>
      </c>
      <c r="S4" s="610">
        <f>([5]segmenty!$B$34)*1000</f>
        <v>309000</v>
      </c>
      <c r="T4" s="610">
        <f>([5]segmenty!$B$31)*1000</f>
        <v>-1374000</v>
      </c>
      <c r="U4" s="610">
        <f>([5]segmenty!$B$25)*1000</f>
        <v>4907000</v>
      </c>
      <c r="W4" s="610">
        <f>('[5]segmenty 3 m-ce'!$B$69)*1000</f>
        <v>1870000</v>
      </c>
      <c r="X4" s="610">
        <f>('[5]segmenty 3 m-ce'!$B$84)*1000</f>
        <v>153000</v>
      </c>
      <c r="Y4" s="610">
        <f>('[5]segmenty 3 m-ce'!$B$81)*1000</f>
        <v>120000</v>
      </c>
      <c r="Z4" s="610">
        <f t="shared" ref="Z4:Z9" si="15">U4</f>
        <v>4907000</v>
      </c>
      <c r="AB4" s="610">
        <v>3783000</v>
      </c>
      <c r="AC4" s="610">
        <v>156000</v>
      </c>
      <c r="AD4" s="610">
        <v>-1494000</v>
      </c>
      <c r="AE4" s="610">
        <v>5036000</v>
      </c>
      <c r="AG4" s="610">
        <v>1615000</v>
      </c>
      <c r="AH4" s="610">
        <v>-9000</v>
      </c>
      <c r="AI4" s="610">
        <v>-1596000</v>
      </c>
      <c r="AJ4" s="610">
        <f t="shared" ref="AJ4:AJ9" si="16">AE4</f>
        <v>5036000</v>
      </c>
      <c r="AL4" s="610">
        <f>[6]segmenty!$B$9*1000</f>
        <v>2860000</v>
      </c>
      <c r="AM4" s="610">
        <f>[6]segmenty!$B$34*1000</f>
        <v>292000</v>
      </c>
      <c r="AN4" s="610">
        <f>[6]segmenty!$B$31*1000</f>
        <v>197000</v>
      </c>
      <c r="AO4" s="610">
        <f>[6]segmenty!$B$25*1000</f>
        <v>9914000</v>
      </c>
      <c r="AQ4" s="610">
        <f>([7]segmenty!$B$9)*1000</f>
        <v>13325000</v>
      </c>
      <c r="AR4" s="610">
        <f>([7]segmenty!$B$34)*1000</f>
        <v>1377000</v>
      </c>
      <c r="AS4" s="610">
        <f>([7]segmenty!$B$31)*1000</f>
        <v>347000</v>
      </c>
      <c r="AT4" s="610">
        <f>([7]segmenty!$B$25)*1000</f>
        <v>10023000</v>
      </c>
      <c r="AV4" s="610">
        <f t="shared" ref="AV4:AX9" si="17">AQ4-BA4</f>
        <v>3811000</v>
      </c>
      <c r="AW4" s="610">
        <f t="shared" si="17"/>
        <v>292000</v>
      </c>
      <c r="AX4" s="610">
        <f t="shared" si="17"/>
        <v>-388000</v>
      </c>
      <c r="AY4" s="610">
        <f t="shared" ref="AY4:AY9" si="18">AT4</f>
        <v>10023000</v>
      </c>
      <c r="BA4" s="610">
        <f>([8]segmenty!$B$9)*1000</f>
        <v>9514000</v>
      </c>
      <c r="BB4" s="610">
        <f>([8]segmenty!$B$34)*1000</f>
        <v>1085000</v>
      </c>
      <c r="BC4" s="610">
        <f>([8]segmenty!$B$31)*1000</f>
        <v>735000</v>
      </c>
      <c r="BD4" s="610">
        <f>([8]segmenty!$B$25)*1000</f>
        <v>10231000</v>
      </c>
      <c r="BF4" s="610">
        <f>('[8]segmenty 3 m-ce PREZ'!$B$9)*1000</f>
        <v>2646000</v>
      </c>
      <c r="BG4" s="610">
        <f>('[8]segmenty 3 m-ce PREZ'!$B$16)*1000</f>
        <v>128000</v>
      </c>
      <c r="BH4" s="610">
        <f>('[8]segmenty 3 m-ce PREZ'!$B$12)*1000</f>
        <v>9000</v>
      </c>
      <c r="BI4" s="610">
        <f t="shared" ref="BI4:BI9" si="19">BD4</f>
        <v>10231000</v>
      </c>
      <c r="BK4" s="610">
        <f>[9]segmenty!$B$9*1000</f>
        <v>6868000</v>
      </c>
      <c r="BL4" s="610">
        <f>[9]segmenty!$B$34*1000</f>
        <v>957000</v>
      </c>
      <c r="BM4" s="610">
        <f>[9]segmenty!$B$31*1000</f>
        <v>726000</v>
      </c>
      <c r="BN4" s="610">
        <f>[9]segmenty!$B$25*1000</f>
        <v>10370000</v>
      </c>
      <c r="BP4" s="610">
        <f>('[9]segmenty 3 m-ce'!$B$69)*1000</f>
        <v>2838000</v>
      </c>
      <c r="BQ4" s="610">
        <f>('[9]segmenty 3 m-ce'!$B$84)*1000</f>
        <v>499000</v>
      </c>
      <c r="BR4" s="610">
        <f>('[9]segmenty 3 m-ce'!$B$81)*1000</f>
        <v>380000</v>
      </c>
      <c r="BS4" s="610">
        <f t="shared" ref="BS4:BS9" si="20">BN4</f>
        <v>10370000</v>
      </c>
      <c r="BU4" s="610">
        <f>[10]segmenty!$B$9*1000</f>
        <v>4030000</v>
      </c>
      <c r="BV4" s="610">
        <f>[10]segmenty!$B$34*1000</f>
        <v>458000</v>
      </c>
      <c r="BW4" s="610">
        <f>[10]segmenty!$B$31*1000</f>
        <v>346000</v>
      </c>
      <c r="BX4" s="610">
        <f>[10]segmenty!$B$25*1000</f>
        <v>10625000</v>
      </c>
      <c r="BZ4" s="610">
        <f t="shared" ref="BZ4:CB9" si="21">CE4-CO4</f>
        <v>3454000</v>
      </c>
      <c r="CA4" s="610">
        <f t="shared" si="21"/>
        <v>-111000</v>
      </c>
      <c r="CB4" s="610">
        <f t="shared" si="21"/>
        <v>-304000</v>
      </c>
      <c r="CC4" s="610">
        <f t="shared" ref="CC4:CC10" si="22">CH4</f>
        <v>10157000</v>
      </c>
      <c r="CE4" s="610">
        <v>11126000</v>
      </c>
      <c r="CF4" s="610">
        <v>-779000</v>
      </c>
      <c r="CG4" s="610">
        <v>-1307000</v>
      </c>
      <c r="CH4" s="610">
        <v>10157000</v>
      </c>
      <c r="CJ4" s="467">
        <v>2253000</v>
      </c>
      <c r="CK4" s="467">
        <v>-638000</v>
      </c>
      <c r="CL4" s="467">
        <v>-751000</v>
      </c>
      <c r="CM4" s="467">
        <f t="shared" si="0"/>
        <v>8802000</v>
      </c>
      <c r="CO4" s="467">
        <v>7672000</v>
      </c>
      <c r="CP4" s="467">
        <v>-668000</v>
      </c>
      <c r="CQ4" s="467">
        <v>-1003000</v>
      </c>
      <c r="CR4" s="467">
        <v>8802000</v>
      </c>
      <c r="CT4" s="467">
        <f t="shared" si="1"/>
        <v>2363000</v>
      </c>
      <c r="CU4" s="467">
        <f t="shared" si="1"/>
        <v>-925000</v>
      </c>
      <c r="CV4" s="467">
        <f t="shared" si="1"/>
        <v>-1038000</v>
      </c>
      <c r="CW4" s="467">
        <v>8440000</v>
      </c>
      <c r="CY4" s="467">
        <v>5419000</v>
      </c>
      <c r="CZ4" s="467">
        <v>-30000</v>
      </c>
      <c r="DA4" s="467">
        <v>-252000</v>
      </c>
      <c r="DB4" s="467">
        <v>8440000</v>
      </c>
      <c r="DD4" s="467">
        <v>3056000</v>
      </c>
      <c r="DE4" s="467">
        <v>895000</v>
      </c>
      <c r="DF4" s="467">
        <v>786000</v>
      </c>
      <c r="DG4" s="467">
        <v>9122000</v>
      </c>
      <c r="DI4" s="467">
        <f t="shared" si="2"/>
        <v>3400888</v>
      </c>
      <c r="DJ4" s="467">
        <f t="shared" si="2"/>
        <v>56825</v>
      </c>
      <c r="DK4" s="467">
        <f t="shared" si="2"/>
        <v>-70423</v>
      </c>
      <c r="DL4" s="467">
        <f t="shared" si="3"/>
        <v>8849000</v>
      </c>
      <c r="DN4" s="467">
        <v>9819000</v>
      </c>
      <c r="DO4" s="467">
        <v>1375000</v>
      </c>
      <c r="DP4" s="467">
        <v>-25000</v>
      </c>
      <c r="DQ4" s="467">
        <v>8849000</v>
      </c>
      <c r="DS4" s="467">
        <f t="shared" si="4"/>
        <v>2359143</v>
      </c>
      <c r="DT4" s="467">
        <f t="shared" si="4"/>
        <v>309951</v>
      </c>
      <c r="DU4" s="467">
        <f t="shared" si="4"/>
        <v>204422</v>
      </c>
      <c r="DV4" s="467">
        <f t="shared" si="5"/>
        <v>8743263</v>
      </c>
      <c r="DX4" s="467">
        <v>6418112</v>
      </c>
      <c r="DY4" s="467">
        <v>1318175</v>
      </c>
      <c r="DZ4" s="467">
        <v>45423</v>
      </c>
      <c r="EA4" s="467">
        <v>8743263</v>
      </c>
      <c r="EC4" s="467">
        <f t="shared" si="6"/>
        <v>1750959</v>
      </c>
      <c r="ED4" s="467">
        <f t="shared" si="6"/>
        <v>321880</v>
      </c>
      <c r="EE4" s="467">
        <f t="shared" si="6"/>
        <v>-729303</v>
      </c>
      <c r="EF4" s="467">
        <f t="shared" si="7"/>
        <v>8695096</v>
      </c>
      <c r="EH4" s="467">
        <v>4058969</v>
      </c>
      <c r="EI4" s="467">
        <v>1008224</v>
      </c>
      <c r="EJ4" s="467">
        <v>-158999</v>
      </c>
      <c r="EK4" s="467">
        <v>8695096</v>
      </c>
      <c r="EM4" s="467">
        <v>2308010</v>
      </c>
      <c r="EN4" s="467">
        <v>686344</v>
      </c>
      <c r="EO4" s="467">
        <v>570304</v>
      </c>
      <c r="EP4" s="467">
        <v>10797611</v>
      </c>
      <c r="ER4" s="467">
        <f t="shared" si="8"/>
        <v>1154789</v>
      </c>
      <c r="ES4" s="467">
        <f t="shared" si="8"/>
        <v>124331</v>
      </c>
      <c r="ET4" s="467">
        <f t="shared" si="8"/>
        <v>-2513004</v>
      </c>
      <c r="EU4" s="467">
        <f t="shared" si="9"/>
        <v>8070552</v>
      </c>
      <c r="EW4" s="467">
        <v>3493387</v>
      </c>
      <c r="EX4" s="467">
        <v>172145</v>
      </c>
      <c r="EY4" s="467">
        <v>-2712856</v>
      </c>
      <c r="EZ4" s="467">
        <v>8070552</v>
      </c>
      <c r="FB4" s="467">
        <v>786272</v>
      </c>
      <c r="FC4" s="467">
        <v>21576</v>
      </c>
      <c r="FD4" s="467">
        <v>-44374</v>
      </c>
      <c r="FE4" s="467">
        <f t="shared" si="10"/>
        <v>10026762</v>
      </c>
      <c r="FG4" s="467">
        <v>2338598</v>
      </c>
      <c r="FH4" s="467">
        <v>47814</v>
      </c>
      <c r="FI4" s="467">
        <v>-199852</v>
      </c>
      <c r="FJ4" s="467">
        <v>10026762</v>
      </c>
      <c r="FL4" s="467">
        <f t="shared" si="11"/>
        <v>744938</v>
      </c>
      <c r="FM4" s="468">
        <f t="shared" si="11"/>
        <v>28445</v>
      </c>
      <c r="FN4" s="467">
        <f t="shared" si="11"/>
        <v>-102731</v>
      </c>
      <c r="FO4" s="467">
        <v>9827110</v>
      </c>
      <c r="FQ4" s="467">
        <v>1552326</v>
      </c>
      <c r="FR4" s="468">
        <v>26238</v>
      </c>
      <c r="FS4" s="467">
        <v>-155478</v>
      </c>
      <c r="FT4" s="467">
        <v>9827110</v>
      </c>
      <c r="FV4" s="467">
        <v>807388</v>
      </c>
      <c r="FW4" s="468">
        <v>-2207</v>
      </c>
      <c r="FX4" s="467">
        <v>-52747</v>
      </c>
      <c r="FY4" s="467">
        <v>12620365</v>
      </c>
      <c r="FZ4" s="5"/>
      <c r="GA4" s="341">
        <v>4923281</v>
      </c>
      <c r="GB4" s="342">
        <v>984239</v>
      </c>
      <c r="GC4" s="341">
        <v>-129097</v>
      </c>
      <c r="GD4" s="341">
        <v>15212283</v>
      </c>
      <c r="GF4" s="341">
        <v>1288405</v>
      </c>
      <c r="GG4" s="342">
        <v>318715</v>
      </c>
      <c r="GH4" s="341">
        <v>-468693</v>
      </c>
      <c r="GI4" s="341">
        <v>15212283</v>
      </c>
      <c r="GK4" s="341">
        <v>3634876</v>
      </c>
      <c r="GL4" s="342">
        <v>665524</v>
      </c>
      <c r="GM4" s="341">
        <v>339596</v>
      </c>
      <c r="GN4" s="341">
        <v>14413311</v>
      </c>
      <c r="GP4" s="341">
        <v>1088602</v>
      </c>
      <c r="GQ4" s="342">
        <v>126492</v>
      </c>
      <c r="GR4" s="341">
        <v>14606</v>
      </c>
      <c r="GS4" s="341">
        <v>14413311</v>
      </c>
      <c r="GV4" s="341">
        <v>2546274</v>
      </c>
      <c r="GW4" s="342">
        <v>539032</v>
      </c>
      <c r="GX4" s="341">
        <v>324990</v>
      </c>
      <c r="GY4" s="341">
        <v>13002265</v>
      </c>
      <c r="HA4" s="341">
        <v>1157326</v>
      </c>
      <c r="HB4" s="342">
        <v>152365</v>
      </c>
      <c r="HC4" s="341">
        <v>44662</v>
      </c>
      <c r="HD4" s="341">
        <v>13002265</v>
      </c>
      <c r="HF4" s="341">
        <v>1388948</v>
      </c>
      <c r="HG4" s="342">
        <v>386667</v>
      </c>
      <c r="HH4" s="341">
        <v>280328</v>
      </c>
      <c r="HI4" s="341">
        <v>13012934</v>
      </c>
      <c r="HK4" s="341">
        <v>4638494</v>
      </c>
      <c r="HL4" s="341">
        <v>731372</v>
      </c>
      <c r="HM4" s="341">
        <v>196658</v>
      </c>
      <c r="HN4" s="341">
        <v>12712861</v>
      </c>
      <c r="HP4" s="341">
        <v>1369745</v>
      </c>
      <c r="HQ4" s="342">
        <v>82432</v>
      </c>
      <c r="HR4" s="341">
        <v>-494471</v>
      </c>
      <c r="HS4" s="341">
        <v>12712861</v>
      </c>
      <c r="HU4" s="341">
        <v>3268749</v>
      </c>
      <c r="HV4" s="342">
        <v>648940</v>
      </c>
      <c r="HW4" s="341">
        <v>691129</v>
      </c>
      <c r="HX4" s="341">
        <v>12406932</v>
      </c>
      <c r="HZ4" s="341">
        <v>1149397</v>
      </c>
      <c r="IA4" s="342">
        <v>57190</v>
      </c>
      <c r="IB4" s="341">
        <v>-49720</v>
      </c>
      <c r="IC4" s="341">
        <v>12406932</v>
      </c>
      <c r="IE4" s="166">
        <v>2119352</v>
      </c>
      <c r="IF4" s="319">
        <v>591750</v>
      </c>
      <c r="IG4" s="166">
        <v>740849</v>
      </c>
      <c r="IH4" s="166">
        <v>12218655</v>
      </c>
      <c r="IJ4" s="166">
        <v>947169</v>
      </c>
      <c r="IK4" s="319">
        <v>126438</v>
      </c>
      <c r="IL4" s="166">
        <v>369183</v>
      </c>
      <c r="IM4" s="166">
        <v>12218655</v>
      </c>
      <c r="IO4" s="156">
        <v>1172183</v>
      </c>
      <c r="IP4" s="183">
        <v>465312</v>
      </c>
      <c r="IQ4" s="156">
        <v>371666</v>
      </c>
      <c r="IR4" s="156">
        <v>11762964</v>
      </c>
      <c r="IT4" s="156">
        <v>4528480</v>
      </c>
      <c r="IU4" s="156">
        <v>463974</v>
      </c>
      <c r="IV4" s="156">
        <v>16595</v>
      </c>
      <c r="IW4" s="156">
        <v>11802461</v>
      </c>
      <c r="IY4" s="156">
        <v>1203648</v>
      </c>
      <c r="IZ4" s="183">
        <v>77580</v>
      </c>
      <c r="JA4" s="156">
        <v>-27589</v>
      </c>
      <c r="JB4" s="156">
        <v>11802461</v>
      </c>
      <c r="JC4" s="157"/>
      <c r="JD4" s="156">
        <v>3324832</v>
      </c>
      <c r="JE4" s="156">
        <v>386394</v>
      </c>
      <c r="JF4" s="156">
        <v>44184</v>
      </c>
      <c r="JG4" s="156">
        <v>10725845</v>
      </c>
      <c r="JH4" s="156"/>
      <c r="JI4" s="156">
        <v>1042661</v>
      </c>
      <c r="JJ4" s="156">
        <v>79923</v>
      </c>
      <c r="JK4" s="156">
        <v>-36258</v>
      </c>
      <c r="JL4" s="156">
        <v>10725845</v>
      </c>
      <c r="JM4" s="157"/>
      <c r="JN4" s="156">
        <v>2282171</v>
      </c>
      <c r="JO4" s="156">
        <v>306471</v>
      </c>
      <c r="JP4" s="156">
        <v>80442</v>
      </c>
      <c r="JQ4" s="156">
        <v>10994483</v>
      </c>
      <c r="JR4" s="157"/>
      <c r="JS4" s="156">
        <f t="shared" si="12"/>
        <v>1063014</v>
      </c>
      <c r="JT4" s="156">
        <f t="shared" si="12"/>
        <v>115805</v>
      </c>
      <c r="JU4" s="156">
        <f t="shared" si="12"/>
        <v>-11816</v>
      </c>
      <c r="JV4" s="156">
        <f>KA4</f>
        <v>10794713</v>
      </c>
      <c r="JW4" s="157"/>
      <c r="JX4" s="156">
        <v>1219157</v>
      </c>
      <c r="JY4" s="156">
        <v>190666</v>
      </c>
      <c r="JZ4" s="156">
        <v>92258</v>
      </c>
      <c r="KA4" s="156">
        <v>10794713</v>
      </c>
      <c r="KB4" s="157"/>
      <c r="KC4" s="156">
        <v>4356101</v>
      </c>
      <c r="KD4" s="156">
        <v>545311</v>
      </c>
      <c r="KE4" s="156">
        <v>-752813</v>
      </c>
      <c r="KF4" s="156">
        <v>10874288</v>
      </c>
      <c r="KG4" s="157"/>
      <c r="KH4" s="156">
        <v>1112410</v>
      </c>
      <c r="KI4" s="156">
        <v>98202</v>
      </c>
      <c r="KJ4" s="156">
        <v>-182972</v>
      </c>
      <c r="KK4" s="156">
        <v>10874288</v>
      </c>
      <c r="KL4" s="157"/>
      <c r="KM4" s="156">
        <v>3243691</v>
      </c>
      <c r="KN4" s="156">
        <v>447109</v>
      </c>
      <c r="KO4" s="156">
        <v>-569841</v>
      </c>
      <c r="KP4" s="156">
        <v>10429522</v>
      </c>
      <c r="KQ4" s="157"/>
      <c r="KR4" s="156">
        <v>901057</v>
      </c>
      <c r="KS4" s="156">
        <v>93148</v>
      </c>
      <c r="KT4" s="156">
        <v>-11530</v>
      </c>
      <c r="KU4" s="156">
        <v>10429522</v>
      </c>
      <c r="KV4" s="157"/>
      <c r="KW4" s="156">
        <v>2342634</v>
      </c>
      <c r="KX4" s="156">
        <v>353961</v>
      </c>
      <c r="KY4" s="156">
        <v>-558311</v>
      </c>
      <c r="KZ4" s="156">
        <v>10151833</v>
      </c>
      <c r="LA4" s="157"/>
      <c r="LB4" s="156">
        <v>1070810</v>
      </c>
      <c r="LC4" s="156">
        <v>162812</v>
      </c>
      <c r="LD4" s="156">
        <v>-647533</v>
      </c>
      <c r="LE4" s="156">
        <v>10151833</v>
      </c>
      <c r="LF4" s="157"/>
      <c r="LG4" s="156">
        <v>1271824</v>
      </c>
      <c r="LH4" s="156">
        <v>191149</v>
      </c>
      <c r="LI4" s="156">
        <v>89222</v>
      </c>
      <c r="LJ4" s="156">
        <v>10775702</v>
      </c>
      <c r="LK4" s="157"/>
      <c r="LL4" s="156">
        <v>5376280</v>
      </c>
      <c r="LM4" s="156">
        <v>754751</v>
      </c>
      <c r="LN4" s="156">
        <v>-3477076</v>
      </c>
      <c r="LO4" s="156">
        <v>10788413</v>
      </c>
      <c r="LP4" s="163"/>
      <c r="LQ4" s="156">
        <v>1464821</v>
      </c>
      <c r="LR4" s="156">
        <v>190712</v>
      </c>
      <c r="LS4" s="156">
        <v>-3607565</v>
      </c>
      <c r="LT4" s="156">
        <v>10788413</v>
      </c>
      <c r="LU4" s="163"/>
      <c r="LV4" s="156">
        <v>3911459</v>
      </c>
      <c r="LW4" s="156">
        <v>564039</v>
      </c>
      <c r="LX4" s="156">
        <v>130489</v>
      </c>
      <c r="LY4" s="156">
        <v>13965188</v>
      </c>
      <c r="LZ4" s="157"/>
      <c r="MA4" s="156">
        <v>1164371</v>
      </c>
      <c r="MB4" s="156">
        <v>97637</v>
      </c>
      <c r="MC4" s="156">
        <v>-51447</v>
      </c>
      <c r="MD4" s="156">
        <v>13965188</v>
      </c>
      <c r="ME4" s="157"/>
      <c r="MF4" s="156">
        <v>2674765</v>
      </c>
      <c r="MG4" s="156">
        <v>472911</v>
      </c>
      <c r="MH4" s="156">
        <v>181936</v>
      </c>
      <c r="MI4" s="156">
        <v>13605284</v>
      </c>
      <c r="MJ4" s="157"/>
      <c r="MK4" s="156">
        <v>1147664</v>
      </c>
      <c r="ML4" s="156">
        <v>188570</v>
      </c>
      <c r="MM4" s="156">
        <v>44376</v>
      </c>
      <c r="MN4" s="156">
        <v>13605284</v>
      </c>
      <c r="MO4" s="157"/>
      <c r="MP4" s="156">
        <v>1527101</v>
      </c>
      <c r="MQ4" s="156">
        <v>284341</v>
      </c>
      <c r="MR4" s="156">
        <v>137560</v>
      </c>
      <c r="MS4" s="156">
        <v>13386310</v>
      </c>
      <c r="MT4" s="157"/>
      <c r="MU4" s="163" t="s">
        <v>82</v>
      </c>
      <c r="MV4" s="156">
        <v>3218162</v>
      </c>
      <c r="MW4" s="156">
        <v>251838</v>
      </c>
      <c r="MX4" s="156">
        <v>-189247</v>
      </c>
      <c r="MY4" s="180">
        <v>8393127</v>
      </c>
      <c r="MZ4" s="157"/>
      <c r="NA4" s="156">
        <v>2304778</v>
      </c>
      <c r="NB4" s="156">
        <v>200144</v>
      </c>
      <c r="NC4" s="156">
        <v>-154254</v>
      </c>
      <c r="ND4" s="180">
        <v>7636136</v>
      </c>
      <c r="NE4" s="157"/>
      <c r="NF4" s="156">
        <v>1472664</v>
      </c>
      <c r="NG4" s="156">
        <v>126991</v>
      </c>
      <c r="NH4" s="156">
        <v>-110708</v>
      </c>
      <c r="NI4" s="180">
        <v>7741435</v>
      </c>
      <c r="NJ4" s="157"/>
      <c r="NK4" s="157"/>
      <c r="NL4" s="157"/>
      <c r="NM4" s="157"/>
      <c r="NN4" s="157"/>
      <c r="NO4" s="157"/>
      <c r="NP4" s="157"/>
      <c r="NQ4" s="157"/>
      <c r="NR4" s="157"/>
      <c r="NS4" s="157"/>
      <c r="NT4" s="157"/>
      <c r="NU4" s="157"/>
      <c r="NV4" s="157"/>
      <c r="NW4" s="157"/>
      <c r="NX4" s="157"/>
      <c r="NY4" s="157"/>
      <c r="NZ4" s="157"/>
      <c r="OA4" s="157"/>
      <c r="OB4" s="157"/>
      <c r="OC4" s="157"/>
      <c r="OD4" s="157"/>
      <c r="OE4" s="157"/>
      <c r="OF4" s="157"/>
      <c r="OG4" s="157"/>
      <c r="OH4" s="157"/>
      <c r="OI4" s="157"/>
      <c r="OJ4" s="157"/>
      <c r="OK4" s="157"/>
      <c r="OL4" s="157"/>
      <c r="OM4" s="157"/>
      <c r="ON4" s="157"/>
      <c r="OO4" s="157"/>
      <c r="OP4" s="157"/>
      <c r="OQ4" s="157"/>
      <c r="OR4" s="157"/>
      <c r="OS4" s="157"/>
      <c r="OT4" s="157"/>
      <c r="OU4" s="157"/>
      <c r="OV4" s="157"/>
      <c r="OW4" s="157"/>
      <c r="OX4" s="157"/>
      <c r="OY4" s="157"/>
      <c r="OZ4" s="157"/>
      <c r="PA4" s="157"/>
    </row>
    <row r="5" spans="1:417">
      <c r="A5" s="466" t="s">
        <v>25</v>
      </c>
      <c r="C5" s="610">
        <f>([3]segmenty!$C$9)*1000</f>
        <v>813000</v>
      </c>
      <c r="D5" s="610">
        <f>([3]segmenty!$C$34)*1000</f>
        <v>123000</v>
      </c>
      <c r="E5" s="610">
        <f>([3]segmenty!$C$31)*1000</f>
        <v>90000</v>
      </c>
      <c r="F5" s="610">
        <f>([3]segmenty!$C$25)*1000</f>
        <v>2703000</v>
      </c>
      <c r="H5" s="610">
        <f>[4]segmenty!$C$9*1000</f>
        <v>2193000</v>
      </c>
      <c r="I5" s="610"/>
      <c r="J5" s="610"/>
      <c r="K5" s="610"/>
      <c r="M5" s="610">
        <f t="shared" si="13"/>
        <v>799000</v>
      </c>
      <c r="N5" s="610">
        <f t="shared" si="13"/>
        <v>-223000</v>
      </c>
      <c r="O5" s="610">
        <f t="shared" si="13"/>
        <v>4000</v>
      </c>
      <c r="P5" s="610">
        <f t="shared" si="14"/>
        <v>0</v>
      </c>
      <c r="R5" s="610">
        <f>([5]segmenty!$C$9)*1000</f>
        <v>1394000</v>
      </c>
      <c r="S5" s="610">
        <f>([5]segmenty!$C$34)*1000</f>
        <v>223000</v>
      </c>
      <c r="T5" s="610">
        <f>([5]segmenty!$C$31)*1000</f>
        <v>-4000</v>
      </c>
      <c r="U5" s="610">
        <f>([5]segmenty!$C$25)*1000</f>
        <v>2586000</v>
      </c>
      <c r="W5" s="610">
        <f>('[5]segmenty 3 m-ce'!$C$69)*1000</f>
        <v>247000</v>
      </c>
      <c r="X5" s="610">
        <f>('[5]segmenty 3 m-ce'!$C$84)*1000</f>
        <v>57000</v>
      </c>
      <c r="Y5" s="610">
        <f>('[5]segmenty 3 m-ce'!$C$81)*1000</f>
        <v>31000</v>
      </c>
      <c r="Z5" s="610">
        <f t="shared" si="15"/>
        <v>2586000</v>
      </c>
      <c r="AB5" s="610">
        <v>1147000</v>
      </c>
      <c r="AC5" s="610">
        <v>166000</v>
      </c>
      <c r="AD5" s="610">
        <v>-35000</v>
      </c>
      <c r="AE5" s="610">
        <v>2441000</v>
      </c>
      <c r="AG5" s="610">
        <v>337000</v>
      </c>
      <c r="AH5" s="610">
        <v>31000</v>
      </c>
      <c r="AI5" s="610">
        <v>-138000</v>
      </c>
      <c r="AJ5" s="610">
        <f t="shared" si="16"/>
        <v>2441000</v>
      </c>
      <c r="AL5" s="610"/>
      <c r="AM5" s="610"/>
      <c r="AN5" s="610"/>
      <c r="AO5" s="610"/>
      <c r="AQ5" s="610"/>
      <c r="AR5" s="610"/>
      <c r="AS5" s="610"/>
      <c r="AT5" s="610"/>
      <c r="AV5" s="610"/>
      <c r="AW5" s="610"/>
      <c r="AX5" s="610"/>
      <c r="AY5" s="610"/>
      <c r="BA5" s="610"/>
      <c r="BB5" s="610"/>
      <c r="BC5" s="610"/>
      <c r="BD5" s="610"/>
      <c r="BF5" s="610"/>
      <c r="BG5" s="610"/>
      <c r="BH5" s="610"/>
      <c r="BI5" s="610"/>
      <c r="BK5" s="610"/>
      <c r="BL5" s="610"/>
      <c r="BM5" s="610"/>
      <c r="BN5" s="610"/>
      <c r="BP5" s="610"/>
      <c r="BQ5" s="610"/>
      <c r="BR5" s="610"/>
      <c r="BS5" s="610"/>
      <c r="BU5" s="610"/>
      <c r="BV5" s="610"/>
      <c r="BW5" s="610"/>
      <c r="BX5" s="610"/>
      <c r="BZ5" s="610"/>
      <c r="CA5" s="610"/>
      <c r="CB5" s="610"/>
      <c r="CC5" s="610"/>
      <c r="CE5" s="610"/>
      <c r="CF5" s="610"/>
      <c r="CG5" s="610"/>
      <c r="CH5" s="610"/>
      <c r="CJ5" s="467"/>
      <c r="CK5" s="467"/>
      <c r="CL5" s="467"/>
      <c r="CM5" s="467"/>
      <c r="CO5" s="467"/>
      <c r="CP5" s="467"/>
      <c r="CQ5" s="467"/>
      <c r="CR5" s="467"/>
      <c r="CT5" s="467"/>
      <c r="CU5" s="467"/>
      <c r="CV5" s="467"/>
      <c r="CW5" s="467"/>
      <c r="CY5" s="467"/>
      <c r="CZ5" s="467"/>
      <c r="DA5" s="467"/>
      <c r="DB5" s="467"/>
      <c r="DD5" s="467"/>
      <c r="DE5" s="467"/>
      <c r="DF5" s="467"/>
      <c r="DG5" s="467"/>
      <c r="DI5" s="467"/>
      <c r="DJ5" s="467"/>
      <c r="DK5" s="467"/>
      <c r="DL5" s="467"/>
      <c r="DN5" s="467"/>
      <c r="DO5" s="467"/>
      <c r="DP5" s="467"/>
      <c r="DQ5" s="467"/>
      <c r="DS5" s="467"/>
      <c r="DT5" s="467"/>
      <c r="DU5" s="467"/>
      <c r="DV5" s="467"/>
      <c r="DX5" s="467"/>
      <c r="DY5" s="467"/>
      <c r="DZ5" s="467"/>
      <c r="EA5" s="467"/>
      <c r="EC5" s="467"/>
      <c r="ED5" s="467"/>
      <c r="EE5" s="467"/>
      <c r="EF5" s="467"/>
      <c r="EH5" s="467"/>
      <c r="EI5" s="467"/>
      <c r="EJ5" s="467"/>
      <c r="EK5" s="467"/>
      <c r="EM5" s="467"/>
      <c r="EN5" s="467"/>
      <c r="EO5" s="467"/>
      <c r="EP5" s="467"/>
      <c r="ER5" s="467"/>
      <c r="ES5" s="467"/>
      <c r="ET5" s="467"/>
      <c r="EU5" s="467"/>
      <c r="EW5" s="467"/>
      <c r="EX5" s="467"/>
      <c r="EY5" s="467"/>
      <c r="EZ5" s="467"/>
      <c r="FB5" s="467"/>
      <c r="FC5" s="467"/>
      <c r="FD5" s="467"/>
      <c r="FE5" s="467"/>
      <c r="FG5" s="467"/>
      <c r="FH5" s="467"/>
      <c r="FI5" s="467"/>
      <c r="FJ5" s="467"/>
      <c r="FL5" s="467"/>
      <c r="FM5" s="468"/>
      <c r="FN5" s="467"/>
      <c r="FO5" s="467"/>
      <c r="FQ5" s="467"/>
      <c r="FR5" s="468"/>
      <c r="FS5" s="467"/>
      <c r="FT5" s="467"/>
      <c r="FV5" s="467"/>
      <c r="FW5" s="468"/>
      <c r="FX5" s="467"/>
      <c r="FY5" s="467"/>
      <c r="FZ5" s="5"/>
      <c r="GA5" s="341"/>
      <c r="GB5" s="342"/>
      <c r="GC5" s="341"/>
      <c r="GD5" s="341"/>
      <c r="GF5" s="341"/>
      <c r="GG5" s="342"/>
      <c r="GH5" s="341"/>
      <c r="GI5" s="341"/>
      <c r="GK5" s="341"/>
      <c r="GL5" s="342"/>
      <c r="GM5" s="341"/>
      <c r="GN5" s="341"/>
      <c r="GP5" s="341"/>
      <c r="GQ5" s="342"/>
      <c r="GR5" s="341"/>
      <c r="GS5" s="341"/>
      <c r="GV5" s="341"/>
      <c r="GW5" s="342"/>
      <c r="GX5" s="341"/>
      <c r="GY5" s="341"/>
      <c r="HA5" s="341"/>
      <c r="HB5" s="342"/>
      <c r="HC5" s="341"/>
      <c r="HD5" s="341"/>
      <c r="HF5" s="341"/>
      <c r="HG5" s="342"/>
      <c r="HH5" s="341"/>
      <c r="HI5" s="341"/>
      <c r="HK5" s="341"/>
      <c r="HL5" s="341"/>
      <c r="HM5" s="341"/>
      <c r="HN5" s="341"/>
      <c r="HP5" s="341"/>
      <c r="HQ5" s="342"/>
      <c r="HR5" s="341"/>
      <c r="HS5" s="341"/>
      <c r="HU5" s="341"/>
      <c r="HV5" s="342"/>
      <c r="HW5" s="341"/>
      <c r="HX5" s="341"/>
      <c r="HZ5" s="341"/>
      <c r="IA5" s="342"/>
      <c r="IB5" s="341"/>
      <c r="IC5" s="341"/>
      <c r="IE5" s="166"/>
      <c r="IF5" s="319"/>
      <c r="IG5" s="166"/>
      <c r="IH5" s="166"/>
      <c r="IJ5" s="166"/>
      <c r="IK5" s="319"/>
      <c r="IL5" s="166"/>
      <c r="IM5" s="166"/>
      <c r="IO5" s="156"/>
      <c r="IP5" s="183"/>
      <c r="IQ5" s="156"/>
      <c r="IR5" s="156"/>
      <c r="IT5" s="156"/>
      <c r="IU5" s="156"/>
      <c r="IV5" s="156"/>
      <c r="IW5" s="156"/>
      <c r="IY5" s="156"/>
      <c r="IZ5" s="183"/>
      <c r="JA5" s="156"/>
      <c r="JB5" s="156"/>
      <c r="JC5" s="157"/>
      <c r="JD5" s="156"/>
      <c r="JE5" s="156"/>
      <c r="JF5" s="156"/>
      <c r="JG5" s="156"/>
      <c r="JH5" s="156"/>
      <c r="JI5" s="156"/>
      <c r="JJ5" s="156"/>
      <c r="JK5" s="156"/>
      <c r="JL5" s="156"/>
      <c r="JM5" s="157"/>
      <c r="JN5" s="156"/>
      <c r="JO5" s="156"/>
      <c r="JP5" s="156"/>
      <c r="JQ5" s="156"/>
      <c r="JR5" s="157"/>
      <c r="JS5" s="156"/>
      <c r="JT5" s="156"/>
      <c r="JU5" s="156"/>
      <c r="JV5" s="156"/>
      <c r="JW5" s="157"/>
      <c r="JX5" s="156"/>
      <c r="JY5" s="156"/>
      <c r="JZ5" s="156"/>
      <c r="KA5" s="156"/>
      <c r="KB5" s="157"/>
      <c r="KC5" s="156"/>
      <c r="KD5" s="156"/>
      <c r="KE5" s="156"/>
      <c r="KF5" s="156"/>
      <c r="KG5" s="157"/>
      <c r="KH5" s="156"/>
      <c r="KI5" s="156"/>
      <c r="KJ5" s="156"/>
      <c r="KK5" s="156"/>
      <c r="KL5" s="157"/>
      <c r="KM5" s="156"/>
      <c r="KN5" s="156"/>
      <c r="KO5" s="156"/>
      <c r="KP5" s="156"/>
      <c r="KQ5" s="157"/>
      <c r="KR5" s="156"/>
      <c r="KS5" s="156"/>
      <c r="KT5" s="156"/>
      <c r="KU5" s="156"/>
      <c r="KV5" s="157"/>
      <c r="KW5" s="156"/>
      <c r="KX5" s="156"/>
      <c r="KY5" s="156"/>
      <c r="KZ5" s="156"/>
      <c r="LA5" s="157"/>
      <c r="LB5" s="156"/>
      <c r="LC5" s="156"/>
      <c r="LD5" s="156"/>
      <c r="LE5" s="156"/>
      <c r="LF5" s="157"/>
      <c r="LG5" s="156"/>
      <c r="LH5" s="156"/>
      <c r="LI5" s="156"/>
      <c r="LJ5" s="156"/>
      <c r="LK5" s="157"/>
      <c r="LL5" s="156"/>
      <c r="LM5" s="156"/>
      <c r="LN5" s="156"/>
      <c r="LO5" s="156"/>
      <c r="LP5" s="163"/>
      <c r="LQ5" s="156"/>
      <c r="LR5" s="156"/>
      <c r="LS5" s="156"/>
      <c r="LT5" s="156"/>
      <c r="LU5" s="163"/>
      <c r="LV5" s="156"/>
      <c r="LW5" s="156"/>
      <c r="LX5" s="156"/>
      <c r="LY5" s="156"/>
      <c r="LZ5" s="157"/>
      <c r="MA5" s="156"/>
      <c r="MB5" s="156"/>
      <c r="MC5" s="156"/>
      <c r="MD5" s="156"/>
      <c r="ME5" s="157"/>
      <c r="MF5" s="156"/>
      <c r="MG5" s="156"/>
      <c r="MH5" s="156"/>
      <c r="MI5" s="156"/>
      <c r="MJ5" s="157"/>
      <c r="MK5" s="156"/>
      <c r="ML5" s="156"/>
      <c r="MM5" s="156"/>
      <c r="MN5" s="156"/>
      <c r="MO5" s="157"/>
      <c r="MP5" s="156"/>
      <c r="MQ5" s="156"/>
      <c r="MR5" s="156"/>
      <c r="MS5" s="156"/>
      <c r="MT5" s="157"/>
      <c r="MU5" s="163"/>
      <c r="MV5" s="156"/>
      <c r="MW5" s="156"/>
      <c r="MX5" s="156"/>
      <c r="MY5" s="180"/>
      <c r="MZ5" s="157"/>
      <c r="NA5" s="156"/>
      <c r="NB5" s="156"/>
      <c r="NC5" s="156"/>
      <c r="ND5" s="180"/>
      <c r="NE5" s="157"/>
      <c r="NF5" s="156"/>
      <c r="NG5" s="156"/>
      <c r="NH5" s="156"/>
      <c r="NI5" s="180"/>
      <c r="NJ5" s="157"/>
      <c r="NK5" s="157"/>
      <c r="NL5" s="157"/>
      <c r="NM5" s="157"/>
      <c r="NN5" s="157"/>
      <c r="NO5" s="157"/>
      <c r="NP5" s="157"/>
      <c r="NQ5" s="157"/>
      <c r="NR5" s="157"/>
      <c r="NS5" s="157"/>
      <c r="NT5" s="157"/>
      <c r="NU5" s="157"/>
      <c r="NV5" s="157"/>
      <c r="NW5" s="157"/>
      <c r="NX5" s="157"/>
      <c r="NY5" s="157"/>
      <c r="NZ5" s="157"/>
      <c r="OA5" s="157"/>
      <c r="OB5" s="157"/>
      <c r="OC5" s="157"/>
      <c r="OD5" s="157"/>
      <c r="OE5" s="157"/>
      <c r="OF5" s="157"/>
      <c r="OG5" s="157"/>
      <c r="OH5" s="157"/>
      <c r="OI5" s="157"/>
      <c r="OJ5" s="157"/>
      <c r="OK5" s="157"/>
      <c r="OL5" s="157"/>
      <c r="OM5" s="157"/>
      <c r="ON5" s="157"/>
      <c r="OO5" s="157"/>
      <c r="OP5" s="157"/>
      <c r="OQ5" s="157"/>
      <c r="OR5" s="157"/>
      <c r="OS5" s="157"/>
      <c r="OT5" s="157"/>
      <c r="OU5" s="157"/>
      <c r="OV5" s="157"/>
      <c r="OW5" s="157"/>
      <c r="OX5" s="157"/>
      <c r="OY5" s="157"/>
      <c r="OZ5" s="157"/>
      <c r="PA5" s="157"/>
    </row>
    <row r="6" spans="1:417">
      <c r="A6" s="59" t="s">
        <v>581</v>
      </c>
      <c r="C6" s="610">
        <f>([3]segmenty!$D$9)*1000</f>
        <v>295000</v>
      </c>
      <c r="D6" s="610">
        <f>([3]segmenty!$D$34)*1000</f>
        <v>180000</v>
      </c>
      <c r="E6" s="610">
        <f>([3]segmenty!$D$31)*1000</f>
        <v>122000</v>
      </c>
      <c r="F6" s="610">
        <f>([3]segmenty!$D$25)*1000</f>
        <v>5692000</v>
      </c>
      <c r="H6" s="610">
        <f>[4]segmenty!$D$9*1000</f>
        <v>987000</v>
      </c>
      <c r="I6" s="610"/>
      <c r="J6" s="610"/>
      <c r="K6" s="610"/>
      <c r="M6" s="610">
        <f t="shared" si="13"/>
        <v>299000</v>
      </c>
      <c r="N6" s="610">
        <f t="shared" si="13"/>
        <v>-494000</v>
      </c>
      <c r="O6" s="610">
        <f t="shared" si="13"/>
        <v>-351000</v>
      </c>
      <c r="P6" s="610">
        <f t="shared" si="14"/>
        <v>0</v>
      </c>
      <c r="R6" s="610">
        <f>([5]segmenty!$D$9)*1000</f>
        <v>688000</v>
      </c>
      <c r="S6" s="610">
        <f>([5]segmenty!$D$34)*1000</f>
        <v>494000</v>
      </c>
      <c r="T6" s="610">
        <f>([5]segmenty!$D$31)*1000</f>
        <v>351000</v>
      </c>
      <c r="U6" s="610">
        <f>([5]segmenty!$D$25)*1000</f>
        <v>5079000</v>
      </c>
      <c r="W6" s="610">
        <f>('[5]segmenty 3 m-ce'!$D$69)*1000</f>
        <v>176000</v>
      </c>
      <c r="X6" s="610">
        <f>('[5]segmenty 3 m-ce'!$D$84)*1000</f>
        <v>125000</v>
      </c>
      <c r="Y6" s="610">
        <f>('[5]segmenty 3 m-ce'!$D$81)*1000</f>
        <v>77000</v>
      </c>
      <c r="Z6" s="610">
        <f t="shared" si="15"/>
        <v>5079000</v>
      </c>
      <c r="AB6" s="610">
        <v>512000</v>
      </c>
      <c r="AC6" s="610">
        <v>369000</v>
      </c>
      <c r="AD6" s="610">
        <v>274000</v>
      </c>
      <c r="AE6" s="610">
        <v>4545000</v>
      </c>
      <c r="AG6" s="610">
        <v>220000</v>
      </c>
      <c r="AH6" s="610">
        <v>140000</v>
      </c>
      <c r="AI6" s="610">
        <v>92000</v>
      </c>
      <c r="AJ6" s="610">
        <f t="shared" si="16"/>
        <v>4545000</v>
      </c>
      <c r="AL6" s="610">
        <f>[6]segmenty!$C$9*1000</f>
        <v>292000</v>
      </c>
      <c r="AM6" s="610">
        <f>[6]segmenty!$C$34*1000</f>
        <v>229000</v>
      </c>
      <c r="AN6" s="610">
        <f>[6]segmenty!$C$31*1000</f>
        <v>182000</v>
      </c>
      <c r="AO6" s="610">
        <f>[6]segmenty!$C$25*1000</f>
        <v>4288000</v>
      </c>
      <c r="AQ6" s="610">
        <f>([7]segmenty!$C$9)*1000</f>
        <v>750000</v>
      </c>
      <c r="AR6" s="610">
        <f>([7]segmenty!$C$34)*1000</f>
        <v>431000</v>
      </c>
      <c r="AS6" s="610">
        <f>([7]segmenty!$C$31)*1000</f>
        <v>261000</v>
      </c>
      <c r="AT6" s="610">
        <f>([7]segmenty!$C$25)*1000</f>
        <v>3971000</v>
      </c>
      <c r="AV6" s="610">
        <f t="shared" si="17"/>
        <v>189000</v>
      </c>
      <c r="AW6" s="610">
        <f t="shared" si="17"/>
        <v>110000</v>
      </c>
      <c r="AX6" s="610">
        <f t="shared" si="17"/>
        <v>82000</v>
      </c>
      <c r="AY6" s="610">
        <f t="shared" si="18"/>
        <v>3971000</v>
      </c>
      <c r="BA6" s="610">
        <f>([8]segmenty!$C$9)*1000</f>
        <v>561000</v>
      </c>
      <c r="BB6" s="610">
        <f>([8]segmenty!$C$34)*1000</f>
        <v>321000</v>
      </c>
      <c r="BC6" s="610">
        <f>([8]segmenty!$C$31)*1000</f>
        <v>179000</v>
      </c>
      <c r="BD6" s="610">
        <f>([8]segmenty!$C$25)*1000</f>
        <v>3527000</v>
      </c>
      <c r="BF6" s="610">
        <f>('[8]segmenty 3 m-ce PREZ'!$C$9)*1000</f>
        <v>121000</v>
      </c>
      <c r="BG6" s="610">
        <f>('[8]segmenty 3 m-ce PREZ'!$C$16)*1000</f>
        <v>45000</v>
      </c>
      <c r="BH6" s="610">
        <f>('[8]segmenty 3 m-ce PREZ'!$C$12)*1000</f>
        <v>-1000</v>
      </c>
      <c r="BI6" s="610">
        <f t="shared" si="19"/>
        <v>3527000</v>
      </c>
      <c r="BK6" s="610">
        <f>[9]segmenty!$C$9*1000</f>
        <v>440000</v>
      </c>
      <c r="BL6" s="610">
        <f>[9]segmenty!$C$34*1000</f>
        <v>276000</v>
      </c>
      <c r="BM6" s="610">
        <f>[9]segmenty!$C$31*1000</f>
        <v>180000</v>
      </c>
      <c r="BN6" s="610">
        <f>[9]segmenty!$C$25*1000</f>
        <v>3271000</v>
      </c>
      <c r="BP6" s="610">
        <f>('[9]segmenty 3 m-ce'!$C$69)*1000</f>
        <v>171000</v>
      </c>
      <c r="BQ6" s="610">
        <f>('[9]segmenty 3 m-ce'!$C$84)*1000</f>
        <v>90000</v>
      </c>
      <c r="BR6" s="610">
        <f>('[9]segmenty 3 m-ce'!$C$81)*1000</f>
        <v>42000</v>
      </c>
      <c r="BS6" s="610">
        <f t="shared" si="20"/>
        <v>3271000</v>
      </c>
      <c r="BU6" s="610">
        <f>[10]segmenty!$C$9*1000</f>
        <v>269000</v>
      </c>
      <c r="BV6" s="610">
        <f>[10]segmenty!$C$34*1000</f>
        <v>186000</v>
      </c>
      <c r="BW6" s="610">
        <f>[10]segmenty!$C$31*1000</f>
        <v>138000</v>
      </c>
      <c r="BX6" s="610">
        <f>[10]segmenty!$C$25*1000</f>
        <v>2960000</v>
      </c>
      <c r="BZ6" s="610">
        <f t="shared" si="21"/>
        <v>163000</v>
      </c>
      <c r="CA6" s="610">
        <f t="shared" si="21"/>
        <v>94000</v>
      </c>
      <c r="CB6" s="610">
        <f t="shared" si="21"/>
        <v>20000</v>
      </c>
      <c r="CC6" s="610">
        <f t="shared" si="22"/>
        <v>2910000</v>
      </c>
      <c r="CE6" s="610">
        <v>909000</v>
      </c>
      <c r="CF6" s="610">
        <v>476000</v>
      </c>
      <c r="CG6" s="610">
        <v>292000</v>
      </c>
      <c r="CH6" s="610">
        <v>2910000</v>
      </c>
      <c r="CJ6" s="467">
        <v>178000</v>
      </c>
      <c r="CK6" s="467">
        <v>86000</v>
      </c>
      <c r="CL6" s="467">
        <v>50000</v>
      </c>
      <c r="CM6" s="467">
        <f t="shared" si="0"/>
        <v>2585000</v>
      </c>
      <c r="CO6" s="467">
        <v>746000</v>
      </c>
      <c r="CP6" s="467">
        <v>382000</v>
      </c>
      <c r="CQ6" s="467">
        <v>272000</v>
      </c>
      <c r="CR6" s="467">
        <v>2585000</v>
      </c>
      <c r="CT6" s="467">
        <f t="shared" si="1"/>
        <v>254000</v>
      </c>
      <c r="CU6" s="467">
        <f t="shared" si="1"/>
        <v>110000</v>
      </c>
      <c r="CV6" s="467">
        <f t="shared" si="1"/>
        <v>68000</v>
      </c>
      <c r="CW6" s="467">
        <v>2590000</v>
      </c>
      <c r="CY6" s="467">
        <v>568000</v>
      </c>
      <c r="CZ6" s="467">
        <v>296000</v>
      </c>
      <c r="DA6" s="467">
        <v>222000</v>
      </c>
      <c r="DB6" s="467">
        <v>2590000</v>
      </c>
      <c r="DD6" s="467">
        <v>314000</v>
      </c>
      <c r="DE6" s="467">
        <v>186000</v>
      </c>
      <c r="DF6" s="467">
        <v>154000</v>
      </c>
      <c r="DG6" s="467">
        <v>2476000</v>
      </c>
      <c r="DI6" s="467">
        <f t="shared" si="2"/>
        <v>216892</v>
      </c>
      <c r="DJ6" s="467">
        <f t="shared" si="2"/>
        <v>125893</v>
      </c>
      <c r="DK6" s="467">
        <f t="shared" si="2"/>
        <v>90451</v>
      </c>
      <c r="DL6" s="467">
        <f t="shared" si="3"/>
        <v>2470000</v>
      </c>
      <c r="DN6" s="467">
        <v>661000</v>
      </c>
      <c r="DO6" s="467">
        <v>376000</v>
      </c>
      <c r="DP6" s="467">
        <v>224000</v>
      </c>
      <c r="DQ6" s="467">
        <v>2470000</v>
      </c>
      <c r="DS6" s="467">
        <f t="shared" si="4"/>
        <v>135733</v>
      </c>
      <c r="DT6" s="467">
        <f t="shared" si="4"/>
        <v>83090</v>
      </c>
      <c r="DU6" s="467">
        <f t="shared" si="4"/>
        <v>44592</v>
      </c>
      <c r="DV6" s="467">
        <f t="shared" si="5"/>
        <v>2397206</v>
      </c>
      <c r="DX6" s="467">
        <v>444108</v>
      </c>
      <c r="DY6" s="467">
        <v>250107</v>
      </c>
      <c r="DZ6" s="467">
        <v>133549</v>
      </c>
      <c r="EA6" s="467">
        <v>2397206</v>
      </c>
      <c r="EC6" s="467">
        <f t="shared" si="6"/>
        <v>152247</v>
      </c>
      <c r="ED6" s="467">
        <f t="shared" si="6"/>
        <v>83297</v>
      </c>
      <c r="EE6" s="467">
        <f t="shared" si="6"/>
        <v>44444</v>
      </c>
      <c r="EF6" s="467">
        <f t="shared" si="7"/>
        <v>2380016</v>
      </c>
      <c r="EH6" s="467">
        <v>308375</v>
      </c>
      <c r="EI6" s="467">
        <v>167017</v>
      </c>
      <c r="EJ6" s="467">
        <v>88957</v>
      </c>
      <c r="EK6" s="467">
        <v>2380016</v>
      </c>
      <c r="EM6" s="467">
        <v>156128</v>
      </c>
      <c r="EN6" s="467">
        <v>83720</v>
      </c>
      <c r="EO6" s="467">
        <v>44513</v>
      </c>
      <c r="EP6" s="467">
        <v>2404403</v>
      </c>
      <c r="ER6" s="467">
        <f>EW6-FG6</f>
        <v>157558</v>
      </c>
      <c r="ES6" s="467">
        <f>EX6-FH6</f>
        <v>79490</v>
      </c>
      <c r="ET6" s="467">
        <f>EY6-FI6</f>
        <v>41326</v>
      </c>
      <c r="EU6" s="467">
        <f t="shared" si="9"/>
        <v>2438924</v>
      </c>
      <c r="EW6" s="467">
        <v>615558</v>
      </c>
      <c r="EX6" s="467">
        <v>296852</v>
      </c>
      <c r="EY6" s="467">
        <v>145801</v>
      </c>
      <c r="EZ6" s="467">
        <v>2438924</v>
      </c>
      <c r="FB6" s="467">
        <v>108978</v>
      </c>
      <c r="FC6" s="467">
        <v>53797</v>
      </c>
      <c r="FD6" s="467">
        <v>16392</v>
      </c>
      <c r="FE6" s="467">
        <f t="shared" si="10"/>
        <v>2359573</v>
      </c>
      <c r="FG6" s="467">
        <v>458000</v>
      </c>
      <c r="FH6" s="467">
        <v>217362</v>
      </c>
      <c r="FI6" s="467">
        <v>104475</v>
      </c>
      <c r="FJ6" s="467">
        <v>2359573</v>
      </c>
      <c r="FL6" s="467">
        <f t="shared" si="11"/>
        <v>149855</v>
      </c>
      <c r="FM6" s="468">
        <f t="shared" si="11"/>
        <v>42495</v>
      </c>
      <c r="FN6" s="467">
        <f t="shared" si="11"/>
        <v>4801</v>
      </c>
      <c r="FO6" s="467">
        <v>2403664</v>
      </c>
      <c r="FQ6" s="467">
        <v>349022</v>
      </c>
      <c r="FR6" s="468">
        <v>163565</v>
      </c>
      <c r="FS6" s="467">
        <v>88083</v>
      </c>
      <c r="FT6" s="467">
        <v>2403664</v>
      </c>
      <c r="FV6" s="467">
        <v>199167</v>
      </c>
      <c r="FW6" s="468">
        <v>121070</v>
      </c>
      <c r="FX6" s="467">
        <v>83282</v>
      </c>
      <c r="FY6" s="467">
        <v>2460727</v>
      </c>
      <c r="FZ6" s="5"/>
      <c r="GA6" s="341"/>
      <c r="GB6" s="342"/>
      <c r="GC6" s="341"/>
      <c r="GD6" s="341"/>
      <c r="GF6" s="341"/>
      <c r="GG6" s="342"/>
      <c r="GH6" s="341"/>
      <c r="GI6" s="341"/>
      <c r="GK6" s="341"/>
      <c r="GL6" s="342"/>
      <c r="GM6" s="341"/>
      <c r="GN6" s="341"/>
      <c r="GP6" s="341"/>
      <c r="GQ6" s="342"/>
      <c r="GR6" s="341"/>
      <c r="GS6" s="341"/>
      <c r="GV6" s="341"/>
      <c r="GW6" s="342"/>
      <c r="GX6" s="341"/>
      <c r="GY6" s="341"/>
      <c r="HA6" s="341"/>
      <c r="HB6" s="342"/>
      <c r="HC6" s="341"/>
      <c r="HD6" s="341"/>
      <c r="HF6" s="341"/>
      <c r="HG6" s="342"/>
      <c r="HH6" s="341"/>
      <c r="HI6" s="341"/>
      <c r="HK6" s="341"/>
      <c r="HL6" s="341"/>
      <c r="HM6" s="341"/>
      <c r="HN6" s="341"/>
      <c r="HP6" s="341"/>
      <c r="HQ6" s="342"/>
      <c r="HR6" s="341"/>
      <c r="HS6" s="341"/>
      <c r="HU6" s="341"/>
      <c r="HV6" s="342"/>
      <c r="HW6" s="341"/>
      <c r="HX6" s="341"/>
      <c r="HZ6" s="341"/>
      <c r="IA6" s="342"/>
      <c r="IB6" s="341"/>
      <c r="IC6" s="341"/>
      <c r="IE6" s="166"/>
      <c r="IF6" s="319"/>
      <c r="IG6" s="166"/>
      <c r="IH6" s="166"/>
      <c r="IJ6" s="166"/>
      <c r="IK6" s="319"/>
      <c r="IL6" s="166"/>
      <c r="IM6" s="166"/>
      <c r="IO6" s="156"/>
      <c r="IP6" s="183"/>
      <c r="IQ6" s="156"/>
      <c r="IR6" s="156"/>
      <c r="IT6" s="156"/>
      <c r="IU6" s="156"/>
      <c r="IV6" s="156"/>
      <c r="IW6" s="156"/>
      <c r="IY6" s="156"/>
      <c r="IZ6" s="183"/>
      <c r="JA6" s="156"/>
      <c r="JB6" s="156"/>
      <c r="JC6" s="157"/>
      <c r="JD6" s="156"/>
      <c r="JE6" s="156"/>
      <c r="JF6" s="156"/>
      <c r="JG6" s="156"/>
      <c r="JH6" s="156"/>
      <c r="JI6" s="156"/>
      <c r="JJ6" s="156"/>
      <c r="JK6" s="156"/>
      <c r="JL6" s="156"/>
      <c r="JM6" s="157"/>
      <c r="JN6" s="156"/>
      <c r="JO6" s="156"/>
      <c r="JP6" s="156"/>
      <c r="JQ6" s="156"/>
      <c r="JR6" s="157"/>
      <c r="JS6" s="156"/>
      <c r="JT6" s="156"/>
      <c r="JU6" s="156"/>
      <c r="JV6" s="156"/>
      <c r="JW6" s="157"/>
      <c r="JX6" s="156"/>
      <c r="JY6" s="156"/>
      <c r="JZ6" s="156"/>
      <c r="KA6" s="156"/>
      <c r="KB6" s="157"/>
      <c r="KC6" s="156"/>
      <c r="KD6" s="156"/>
      <c r="KE6" s="156"/>
      <c r="KF6" s="156"/>
      <c r="KG6" s="157"/>
      <c r="KH6" s="156"/>
      <c r="KI6" s="156"/>
      <c r="KJ6" s="156"/>
      <c r="KK6" s="156"/>
      <c r="KL6" s="157"/>
      <c r="KM6" s="156"/>
      <c r="KN6" s="156"/>
      <c r="KO6" s="156"/>
      <c r="KP6" s="156"/>
      <c r="KQ6" s="157"/>
      <c r="KR6" s="156"/>
      <c r="KS6" s="156"/>
      <c r="KT6" s="156"/>
      <c r="KU6" s="156"/>
      <c r="KV6" s="157"/>
      <c r="KW6" s="156"/>
      <c r="KX6" s="156"/>
      <c r="KY6" s="156"/>
      <c r="KZ6" s="156"/>
      <c r="LA6" s="157"/>
      <c r="LB6" s="156"/>
      <c r="LC6" s="156"/>
      <c r="LD6" s="156"/>
      <c r="LE6" s="156"/>
      <c r="LF6" s="157"/>
      <c r="LG6" s="156"/>
      <c r="LH6" s="156"/>
      <c r="LI6" s="156"/>
      <c r="LJ6" s="156"/>
      <c r="LK6" s="157"/>
      <c r="LL6" s="156"/>
      <c r="LM6" s="156"/>
      <c r="LN6" s="156"/>
      <c r="LO6" s="156"/>
      <c r="LP6" s="163"/>
      <c r="LQ6" s="156"/>
      <c r="LR6" s="156"/>
      <c r="LS6" s="156"/>
      <c r="LT6" s="156"/>
      <c r="LU6" s="163"/>
      <c r="LV6" s="156"/>
      <c r="LW6" s="156"/>
      <c r="LX6" s="156"/>
      <c r="LY6" s="156"/>
      <c r="LZ6" s="157"/>
      <c r="MA6" s="156"/>
      <c r="MB6" s="156"/>
      <c r="MC6" s="156"/>
      <c r="MD6" s="156"/>
      <c r="ME6" s="157"/>
      <c r="MF6" s="156"/>
      <c r="MG6" s="156"/>
      <c r="MH6" s="156"/>
      <c r="MI6" s="156"/>
      <c r="MJ6" s="157"/>
      <c r="MK6" s="156"/>
      <c r="ML6" s="156"/>
      <c r="MM6" s="156"/>
      <c r="MN6" s="156"/>
      <c r="MO6" s="157"/>
      <c r="MP6" s="156"/>
      <c r="MQ6" s="156"/>
      <c r="MR6" s="156"/>
      <c r="MS6" s="156"/>
      <c r="MT6" s="157"/>
      <c r="MU6" s="163"/>
      <c r="MV6" s="156"/>
      <c r="MW6" s="156"/>
      <c r="MX6" s="156"/>
      <c r="MY6" s="180"/>
      <c r="MZ6" s="157"/>
      <c r="NA6" s="156"/>
      <c r="NB6" s="156"/>
      <c r="NC6" s="156"/>
      <c r="ND6" s="180"/>
      <c r="NE6" s="157"/>
      <c r="NF6" s="156"/>
      <c r="NG6" s="156"/>
      <c r="NH6" s="156"/>
      <c r="NI6" s="180"/>
      <c r="NJ6" s="157"/>
      <c r="NK6" s="157"/>
      <c r="NL6" s="157"/>
      <c r="NM6" s="157"/>
      <c r="NN6" s="157"/>
      <c r="NO6" s="157"/>
      <c r="NP6" s="157"/>
      <c r="NQ6" s="157"/>
      <c r="NR6" s="157"/>
      <c r="NS6" s="157"/>
      <c r="NT6" s="157"/>
      <c r="NU6" s="157"/>
      <c r="NV6" s="157"/>
      <c r="NW6" s="157"/>
      <c r="NX6" s="157"/>
      <c r="NY6" s="157"/>
      <c r="NZ6" s="157"/>
      <c r="OA6" s="157"/>
      <c r="OB6" s="157"/>
      <c r="OC6" s="157"/>
      <c r="OD6" s="157"/>
      <c r="OE6" s="157"/>
      <c r="OF6" s="157"/>
      <c r="OG6" s="157"/>
      <c r="OH6" s="157"/>
      <c r="OI6" s="157"/>
      <c r="OJ6" s="157"/>
      <c r="OK6" s="157"/>
      <c r="OL6" s="157"/>
      <c r="OM6" s="157"/>
      <c r="ON6" s="157"/>
      <c r="OO6" s="157"/>
      <c r="OP6" s="157"/>
      <c r="OQ6" s="157"/>
      <c r="OR6" s="157"/>
      <c r="OS6" s="157"/>
      <c r="OT6" s="157"/>
      <c r="OU6" s="157"/>
      <c r="OV6" s="157"/>
      <c r="OW6" s="157"/>
      <c r="OX6" s="157"/>
      <c r="OY6" s="157"/>
      <c r="OZ6" s="157"/>
      <c r="PA6" s="157"/>
    </row>
    <row r="7" spans="1:417">
      <c r="A7" s="59" t="s">
        <v>78</v>
      </c>
      <c r="C7" s="610">
        <f>([3]segmenty!$E$9)*1000</f>
        <v>3213000</v>
      </c>
      <c r="D7" s="610">
        <f>([3]segmenty!$E$34)*1000</f>
        <v>1226000</v>
      </c>
      <c r="E7" s="610">
        <f>([3]segmenty!$E$31)*1000</f>
        <v>859000</v>
      </c>
      <c r="F7" s="610">
        <f>([3]segmenty!$E$25)*1000</f>
        <v>26513000</v>
      </c>
      <c r="H7" s="610">
        <f>[4]segmenty!$E$9*1000</f>
        <v>11434000</v>
      </c>
      <c r="I7" s="610"/>
      <c r="J7" s="610"/>
      <c r="K7" s="610"/>
      <c r="M7" s="610">
        <f t="shared" si="13"/>
        <v>3307000</v>
      </c>
      <c r="N7" s="610">
        <f t="shared" si="13"/>
        <v>-2638000</v>
      </c>
      <c r="O7" s="610">
        <f t="shared" si="13"/>
        <v>-1591000</v>
      </c>
      <c r="P7" s="610">
        <f t="shared" si="14"/>
        <v>0</v>
      </c>
      <c r="R7" s="610">
        <f>([5]segmenty!$E$9)*1000</f>
        <v>8127000</v>
      </c>
      <c r="S7" s="610">
        <f>([5]segmenty!$E$34)*1000</f>
        <v>2638000</v>
      </c>
      <c r="T7" s="610">
        <f>([5]segmenty!$E$31)*1000</f>
        <v>1591000</v>
      </c>
      <c r="U7" s="610">
        <f>([5]segmenty!$E$25)*1000</f>
        <v>25309000</v>
      </c>
      <c r="W7" s="610">
        <f>('[5]segmenty 3 m-ce'!$E$69)*1000</f>
        <v>2876000</v>
      </c>
      <c r="X7" s="610">
        <f>('[5]segmenty 3 m-ce'!$E$84)*1000</f>
        <v>1022000</v>
      </c>
      <c r="Y7" s="610">
        <f>('[5]segmenty 3 m-ce'!$E$81)*1000</f>
        <v>665000</v>
      </c>
      <c r="Z7" s="610">
        <f t="shared" si="15"/>
        <v>25309000</v>
      </c>
      <c r="AB7" s="610">
        <v>5251000</v>
      </c>
      <c r="AC7" s="610">
        <v>1616000</v>
      </c>
      <c r="AD7" s="610">
        <v>926000</v>
      </c>
      <c r="AE7" s="610">
        <v>25011000</v>
      </c>
      <c r="AG7" s="610">
        <v>2806000</v>
      </c>
      <c r="AH7" s="610">
        <v>994000</v>
      </c>
      <c r="AI7" s="610">
        <v>645000</v>
      </c>
      <c r="AJ7" s="610">
        <f t="shared" si="16"/>
        <v>25011000</v>
      </c>
      <c r="AL7" s="610">
        <f>[6]segmenty!$D$9*1000</f>
        <v>2446000</v>
      </c>
      <c r="AM7" s="610">
        <f>[6]segmenty!$D$34*1000</f>
        <v>622000</v>
      </c>
      <c r="AN7" s="610">
        <f>[6]segmenty!$D$31*1000</f>
        <v>280000</v>
      </c>
      <c r="AO7" s="610">
        <f>[6]segmenty!$D$25*1000</f>
        <v>24794000</v>
      </c>
      <c r="AQ7" s="610">
        <f>([7]segmenty!$D$9)*1000</f>
        <v>11734000</v>
      </c>
      <c r="AR7" s="610">
        <f>([7]segmenty!$D$34)*1000</f>
        <v>3528000</v>
      </c>
      <c r="AS7" s="610">
        <f>([7]segmenty!$D$31)*1000</f>
        <v>2197000</v>
      </c>
      <c r="AT7" s="610">
        <f>([7]segmenty!$D$25)*1000</f>
        <v>24189000</v>
      </c>
      <c r="AV7" s="610">
        <f t="shared" si="17"/>
        <v>2770000</v>
      </c>
      <c r="AW7" s="610">
        <f t="shared" si="17"/>
        <v>102000</v>
      </c>
      <c r="AX7" s="610">
        <f t="shared" si="17"/>
        <v>-246000</v>
      </c>
      <c r="AY7" s="610">
        <f t="shared" si="18"/>
        <v>24189000</v>
      </c>
      <c r="BA7" s="610">
        <f>([8]segmenty!$D$9)*1000</f>
        <v>8964000</v>
      </c>
      <c r="BB7" s="610">
        <f>([8]segmenty!$D$34)*1000</f>
        <v>3426000</v>
      </c>
      <c r="BC7" s="610">
        <f>([8]segmenty!$D$31)*1000</f>
        <v>2443000</v>
      </c>
      <c r="BD7" s="610">
        <f>([8]segmenty!$D$25)*1000</f>
        <v>23631000</v>
      </c>
      <c r="BF7" s="610">
        <f>('[8]segmenty 3 m-ce PREZ'!$D$9)*1000</f>
        <v>2846000</v>
      </c>
      <c r="BG7" s="610">
        <f>('[8]segmenty 3 m-ce PREZ'!$D$16)*1000</f>
        <v>1096000</v>
      </c>
      <c r="BH7" s="610">
        <f>('[8]segmenty 3 m-ce PREZ'!$D$12)*1000</f>
        <v>761000</v>
      </c>
      <c r="BI7" s="610">
        <f t="shared" si="19"/>
        <v>23631000</v>
      </c>
      <c r="BK7" s="610">
        <f>[9]segmenty!$D$9*1000</f>
        <v>6118000</v>
      </c>
      <c r="BL7" s="610">
        <f>[9]segmenty!$D$34*1000</f>
        <v>2330000</v>
      </c>
      <c r="BM7" s="610">
        <f>[9]segmenty!$D$31*1000</f>
        <v>1682000</v>
      </c>
      <c r="BN7" s="610">
        <f>[9]segmenty!$D$25*1000</f>
        <v>23243000</v>
      </c>
      <c r="BP7" s="610">
        <f>('[9]segmenty 3 m-ce'!$D$69)*1000</f>
        <v>2791000</v>
      </c>
      <c r="BQ7" s="610">
        <f>('[9]segmenty 3 m-ce'!$D$84)*1000</f>
        <v>1044000</v>
      </c>
      <c r="BR7" s="610">
        <f>('[9]segmenty 3 m-ce'!$D$81)*1000</f>
        <v>714000</v>
      </c>
      <c r="BS7" s="610">
        <f t="shared" si="20"/>
        <v>23243000</v>
      </c>
      <c r="BU7" s="610">
        <f>[10]segmenty!$D$9*1000</f>
        <v>3327000</v>
      </c>
      <c r="BV7" s="610">
        <f>[10]segmenty!$D$34*1000</f>
        <v>1286000</v>
      </c>
      <c r="BW7" s="610">
        <f>[10]segmenty!$D$31*1000</f>
        <v>968000</v>
      </c>
      <c r="BX7" s="610">
        <f>[10]segmenty!$D$25*1000</f>
        <v>23123000</v>
      </c>
      <c r="BZ7" s="610">
        <f t="shared" si="21"/>
        <v>1880000</v>
      </c>
      <c r="CA7" s="610">
        <f t="shared" si="21"/>
        <v>590000</v>
      </c>
      <c r="CB7" s="610">
        <f t="shared" si="21"/>
        <v>264000</v>
      </c>
      <c r="CC7" s="610">
        <f t="shared" si="22"/>
        <v>22174000</v>
      </c>
      <c r="CE7" s="610">
        <v>7611000</v>
      </c>
      <c r="CF7" s="610">
        <v>2939000</v>
      </c>
      <c r="CG7" s="610">
        <v>1679000</v>
      </c>
      <c r="CH7" s="610">
        <v>22174000</v>
      </c>
      <c r="CJ7" s="467">
        <v>1812000</v>
      </c>
      <c r="CK7" s="467">
        <v>640000</v>
      </c>
      <c r="CL7" s="467">
        <v>323000</v>
      </c>
      <c r="CM7" s="467">
        <f t="shared" si="0"/>
        <v>21729000</v>
      </c>
      <c r="CO7" s="467">
        <v>5731000</v>
      </c>
      <c r="CP7" s="467">
        <v>2349000</v>
      </c>
      <c r="CQ7" s="467">
        <v>1415000</v>
      </c>
      <c r="CR7" s="467">
        <v>21729000</v>
      </c>
      <c r="CT7" s="467">
        <f t="shared" si="1"/>
        <v>1896000</v>
      </c>
      <c r="CU7" s="467">
        <f t="shared" si="1"/>
        <v>845000</v>
      </c>
      <c r="CV7" s="467">
        <f t="shared" si="1"/>
        <v>531000</v>
      </c>
      <c r="CW7" s="467">
        <v>21485000</v>
      </c>
      <c r="CY7" s="467">
        <v>3919000</v>
      </c>
      <c r="CZ7" s="467">
        <v>1709000</v>
      </c>
      <c r="DA7" s="467">
        <v>1092000</v>
      </c>
      <c r="DB7" s="467">
        <v>21485000</v>
      </c>
      <c r="DD7" s="467">
        <v>2023000</v>
      </c>
      <c r="DE7" s="467">
        <v>864000</v>
      </c>
      <c r="DF7" s="467">
        <v>561000</v>
      </c>
      <c r="DG7" s="467">
        <v>21339000</v>
      </c>
      <c r="DI7" s="467">
        <f t="shared" si="2"/>
        <v>1837094</v>
      </c>
      <c r="DJ7" s="467">
        <f t="shared" si="2"/>
        <v>715992</v>
      </c>
      <c r="DK7" s="467">
        <f t="shared" si="2"/>
        <v>409711</v>
      </c>
      <c r="DL7" s="467">
        <f t="shared" si="3"/>
        <v>21117000</v>
      </c>
      <c r="DN7" s="467">
        <v>7099000</v>
      </c>
      <c r="DO7" s="467">
        <v>2967000</v>
      </c>
      <c r="DP7" s="467">
        <v>1767000</v>
      </c>
      <c r="DQ7" s="467">
        <v>21117000</v>
      </c>
      <c r="DS7" s="467">
        <f t="shared" si="4"/>
        <v>1742661</v>
      </c>
      <c r="DT7" s="467">
        <f t="shared" si="4"/>
        <v>732217</v>
      </c>
      <c r="DU7" s="467">
        <f t="shared" si="4"/>
        <v>433296</v>
      </c>
      <c r="DV7" s="467">
        <f t="shared" si="5"/>
        <v>20704377</v>
      </c>
      <c r="DX7" s="467">
        <v>5261906</v>
      </c>
      <c r="DY7" s="467">
        <v>2251008</v>
      </c>
      <c r="DZ7" s="467">
        <v>1357289</v>
      </c>
      <c r="EA7" s="467">
        <v>20704377</v>
      </c>
      <c r="EC7" s="467">
        <f t="shared" si="6"/>
        <v>1713489</v>
      </c>
      <c r="ED7" s="467">
        <f>EI7-EN7</f>
        <v>776933</v>
      </c>
      <c r="EE7" s="467">
        <f t="shared" si="6"/>
        <v>478417</v>
      </c>
      <c r="EF7" s="467">
        <f t="shared" si="7"/>
        <v>20564755</v>
      </c>
      <c r="EH7" s="467">
        <v>3519245</v>
      </c>
      <c r="EI7" s="467">
        <v>1518791</v>
      </c>
      <c r="EJ7" s="467">
        <v>923993</v>
      </c>
      <c r="EK7" s="467">
        <v>20564755</v>
      </c>
      <c r="EM7" s="467">
        <v>1805756</v>
      </c>
      <c r="EN7" s="467">
        <v>741858</v>
      </c>
      <c r="EO7" s="467">
        <v>445576</v>
      </c>
      <c r="EP7" s="467">
        <v>20446819</v>
      </c>
      <c r="ER7" s="467">
        <f>EW7-FG7</f>
        <v>1787577</v>
      </c>
      <c r="ES7" s="467">
        <f t="shared" si="8"/>
        <v>606130</v>
      </c>
      <c r="ET7" s="467">
        <f t="shared" si="8"/>
        <v>305513</v>
      </c>
      <c r="EU7" s="467">
        <f t="shared" si="9"/>
        <v>20079215</v>
      </c>
      <c r="EW7" s="467">
        <v>6866354</v>
      </c>
      <c r="EX7" s="467">
        <v>3023006</v>
      </c>
      <c r="EY7" s="467">
        <v>1857009</v>
      </c>
      <c r="EZ7" s="467">
        <v>20079215</v>
      </c>
      <c r="FB7" s="467">
        <v>1720223</v>
      </c>
      <c r="FC7" s="467">
        <v>728175</v>
      </c>
      <c r="FD7" s="467">
        <v>436050</v>
      </c>
      <c r="FE7" s="467">
        <f t="shared" si="10"/>
        <v>19708418</v>
      </c>
      <c r="FG7" s="467">
        <v>5078777</v>
      </c>
      <c r="FH7" s="467">
        <v>2416876</v>
      </c>
      <c r="FI7" s="467">
        <v>1551496</v>
      </c>
      <c r="FJ7" s="467">
        <v>19708418</v>
      </c>
      <c r="FL7" s="467">
        <f t="shared" si="11"/>
        <v>1569529</v>
      </c>
      <c r="FM7" s="468">
        <f t="shared" si="11"/>
        <v>1005158</v>
      </c>
      <c r="FN7" s="467">
        <f t="shared" si="11"/>
        <v>715011</v>
      </c>
      <c r="FO7" s="467">
        <v>19569783</v>
      </c>
      <c r="FQ7" s="467">
        <v>3358554</v>
      </c>
      <c r="FR7" s="468">
        <v>1688701</v>
      </c>
      <c r="FS7" s="467">
        <v>1115446</v>
      </c>
      <c r="FT7" s="467">
        <v>19569783</v>
      </c>
      <c r="FV7" s="467">
        <v>1789025</v>
      </c>
      <c r="FW7" s="468">
        <v>683543</v>
      </c>
      <c r="FX7" s="467">
        <v>400435</v>
      </c>
      <c r="FY7" s="467">
        <v>19457317</v>
      </c>
      <c r="FZ7" s="5"/>
      <c r="GA7" s="341">
        <v>6594864</v>
      </c>
      <c r="GB7" s="342">
        <v>2605808</v>
      </c>
      <c r="GC7" s="341">
        <v>1443741</v>
      </c>
      <c r="GD7" s="341">
        <v>19176164</v>
      </c>
      <c r="GF7" s="341">
        <v>1696579</v>
      </c>
      <c r="GG7" s="342">
        <v>605677</v>
      </c>
      <c r="GH7" s="341">
        <v>302828</v>
      </c>
      <c r="GI7" s="341">
        <v>19176164</v>
      </c>
      <c r="GK7" s="341">
        <v>4898285</v>
      </c>
      <c r="GL7" s="342">
        <v>2000131</v>
      </c>
      <c r="GM7" s="341">
        <v>1140913</v>
      </c>
      <c r="GN7" s="341">
        <v>18653722</v>
      </c>
      <c r="GP7" s="341">
        <v>1622943</v>
      </c>
      <c r="GQ7" s="342">
        <v>662812</v>
      </c>
      <c r="GR7" s="341">
        <v>376185</v>
      </c>
      <c r="GS7" s="341">
        <v>18653722</v>
      </c>
      <c r="GV7" s="341">
        <v>3275342</v>
      </c>
      <c r="GW7" s="342">
        <v>1337319</v>
      </c>
      <c r="GX7" s="341">
        <v>764728</v>
      </c>
      <c r="GY7" s="341">
        <v>18478310</v>
      </c>
      <c r="HA7" s="341">
        <v>1594121</v>
      </c>
      <c r="HB7" s="342">
        <v>656124</v>
      </c>
      <c r="HC7" s="341">
        <v>377666</v>
      </c>
      <c r="HD7" s="341">
        <v>18478310</v>
      </c>
      <c r="HF7" s="341">
        <v>1681221</v>
      </c>
      <c r="HG7" s="342">
        <v>681195</v>
      </c>
      <c r="HH7" s="341">
        <v>387062</v>
      </c>
      <c r="HI7" s="341">
        <v>18267535</v>
      </c>
      <c r="HK7" s="341">
        <v>6158215</v>
      </c>
      <c r="HL7" s="341">
        <v>2517465</v>
      </c>
      <c r="HM7" s="341">
        <v>1417102</v>
      </c>
      <c r="HN7" s="341">
        <v>18345603</v>
      </c>
      <c r="HP7" s="341">
        <v>1589634</v>
      </c>
      <c r="HQ7" s="342">
        <v>560921</v>
      </c>
      <c r="HR7" s="341">
        <v>273743</v>
      </c>
      <c r="HS7" s="341">
        <v>18345603</v>
      </c>
      <c r="HU7" s="341">
        <v>4568581</v>
      </c>
      <c r="HV7" s="342">
        <v>1956544</v>
      </c>
      <c r="HW7" s="341">
        <v>1143359</v>
      </c>
      <c r="HX7" s="341">
        <v>17840427</v>
      </c>
      <c r="HZ7" s="341">
        <v>1481610</v>
      </c>
      <c r="IA7" s="342">
        <v>620731</v>
      </c>
      <c r="IB7" s="341">
        <v>346908</v>
      </c>
      <c r="IC7" s="341">
        <v>17840427</v>
      </c>
      <c r="IE7" s="166">
        <v>3463808</v>
      </c>
      <c r="IF7" s="319">
        <v>1335813</v>
      </c>
      <c r="IG7" s="166">
        <v>796451</v>
      </c>
      <c r="IH7" s="166">
        <v>17611246</v>
      </c>
      <c r="IJ7" s="166">
        <v>1674971</v>
      </c>
      <c r="IK7" s="319">
        <v>697700</v>
      </c>
      <c r="IL7" s="166">
        <v>424886</v>
      </c>
      <c r="IM7" s="166">
        <v>17611246</v>
      </c>
      <c r="IO7" s="156">
        <v>1788837</v>
      </c>
      <c r="IP7" s="183">
        <v>638113</v>
      </c>
      <c r="IQ7" s="156">
        <v>371565</v>
      </c>
      <c r="IR7" s="156">
        <v>17380517</v>
      </c>
      <c r="IT7" s="156">
        <v>6719943</v>
      </c>
      <c r="IU7" s="156">
        <v>2282685</v>
      </c>
      <c r="IV7" s="156">
        <v>1210925</v>
      </c>
      <c r="IW7" s="156">
        <v>17409160</v>
      </c>
      <c r="IY7" s="156">
        <v>1733033</v>
      </c>
      <c r="IZ7" s="183">
        <v>488087</v>
      </c>
      <c r="JA7" s="156">
        <v>212156</v>
      </c>
      <c r="JB7" s="156">
        <v>17409160</v>
      </c>
      <c r="JC7" s="157"/>
      <c r="JD7" s="156">
        <v>4986910</v>
      </c>
      <c r="JE7" s="156">
        <v>1794598</v>
      </c>
      <c r="JF7" s="156">
        <v>998769</v>
      </c>
      <c r="JG7" s="156">
        <v>16902087</v>
      </c>
      <c r="JH7" s="156"/>
      <c r="JI7" s="156">
        <v>1618916</v>
      </c>
      <c r="JJ7" s="156">
        <v>591288</v>
      </c>
      <c r="JK7" s="156">
        <v>321449</v>
      </c>
      <c r="JL7" s="156">
        <v>16902087</v>
      </c>
      <c r="JM7" s="157"/>
      <c r="JN7" s="156">
        <v>3367994</v>
      </c>
      <c r="JO7" s="156">
        <v>1203310</v>
      </c>
      <c r="JP7" s="156">
        <v>677320</v>
      </c>
      <c r="JQ7" s="156">
        <v>16825901</v>
      </c>
      <c r="JR7" s="157"/>
      <c r="JS7" s="156">
        <f t="shared" si="12"/>
        <v>1634573</v>
      </c>
      <c r="JT7" s="156">
        <f t="shared" si="12"/>
        <v>596299</v>
      </c>
      <c r="JU7" s="156">
        <f t="shared" si="12"/>
        <v>331709</v>
      </c>
      <c r="JV7" s="156">
        <f>KA7</f>
        <v>16773561</v>
      </c>
      <c r="JW7" s="157"/>
      <c r="JX7" s="156">
        <v>1733421</v>
      </c>
      <c r="JY7" s="156">
        <v>607011</v>
      </c>
      <c r="JZ7" s="156">
        <v>345611</v>
      </c>
      <c r="KA7" s="156">
        <v>16773561</v>
      </c>
      <c r="KB7" s="157"/>
      <c r="KC7" s="156">
        <v>6310216</v>
      </c>
      <c r="KD7" s="156">
        <v>2394812</v>
      </c>
      <c r="KE7" s="156">
        <v>1363236</v>
      </c>
      <c r="KF7" s="156">
        <v>16761938</v>
      </c>
      <c r="KG7" s="157"/>
      <c r="KH7" s="156">
        <v>1634118</v>
      </c>
      <c r="KI7" s="156">
        <v>685152</v>
      </c>
      <c r="KJ7" s="156">
        <v>416722</v>
      </c>
      <c r="KK7" s="156">
        <v>16761938</v>
      </c>
      <c r="KL7" s="157"/>
      <c r="KM7" s="156">
        <v>4676098</v>
      </c>
      <c r="KN7" s="156">
        <v>1709660</v>
      </c>
      <c r="KO7" s="156">
        <v>946514</v>
      </c>
      <c r="KP7" s="156">
        <v>16307098</v>
      </c>
      <c r="KQ7" s="157"/>
      <c r="KR7" s="156">
        <v>1531592</v>
      </c>
      <c r="KS7" s="156">
        <v>562063</v>
      </c>
      <c r="KT7" s="156">
        <v>302990</v>
      </c>
      <c r="KU7" s="156">
        <v>16307098</v>
      </c>
      <c r="KV7" s="157"/>
      <c r="KW7" s="156">
        <v>3144506</v>
      </c>
      <c r="KX7" s="156">
        <v>1147597</v>
      </c>
      <c r="KY7" s="156">
        <v>643524</v>
      </c>
      <c r="KZ7" s="156">
        <v>16152899</v>
      </c>
      <c r="LA7" s="157"/>
      <c r="LB7" s="156">
        <v>1528119</v>
      </c>
      <c r="LC7" s="156">
        <v>604338</v>
      </c>
      <c r="LD7" s="156">
        <v>351932</v>
      </c>
      <c r="LE7" s="156">
        <v>16152899</v>
      </c>
      <c r="LF7" s="157"/>
      <c r="LG7" s="156">
        <v>1616387</v>
      </c>
      <c r="LH7" s="156">
        <v>543259</v>
      </c>
      <c r="LI7" s="156">
        <v>291592</v>
      </c>
      <c r="LJ7" s="156">
        <v>16019643</v>
      </c>
      <c r="LK7" s="157"/>
      <c r="LL7" s="156">
        <v>6450274</v>
      </c>
      <c r="LM7" s="156">
        <v>2372129</v>
      </c>
      <c r="LN7" s="156">
        <v>1371577</v>
      </c>
      <c r="LO7" s="156">
        <v>15974893</v>
      </c>
      <c r="LP7" s="163"/>
      <c r="LQ7" s="156">
        <v>1657399</v>
      </c>
      <c r="LR7" s="156">
        <v>532836</v>
      </c>
      <c r="LS7" s="156">
        <v>264854</v>
      </c>
      <c r="LT7" s="156">
        <v>15974893</v>
      </c>
      <c r="LU7" s="163"/>
      <c r="LV7" s="156">
        <v>4792875</v>
      </c>
      <c r="LW7" s="156">
        <v>1839293</v>
      </c>
      <c r="LX7" s="156">
        <v>1106723</v>
      </c>
      <c r="LY7" s="156">
        <v>15402617</v>
      </c>
      <c r="LZ7" s="157"/>
      <c r="MA7" s="156">
        <v>1564518</v>
      </c>
      <c r="MB7" s="156">
        <v>596633</v>
      </c>
      <c r="MC7" s="156">
        <v>348307</v>
      </c>
      <c r="MD7" s="156">
        <v>15402617</v>
      </c>
      <c r="ME7" s="157"/>
      <c r="MF7" s="156">
        <v>3228357</v>
      </c>
      <c r="MG7" s="156">
        <v>1243279</v>
      </c>
      <c r="MH7" s="156">
        <v>758416</v>
      </c>
      <c r="MI7" s="156">
        <v>15222418</v>
      </c>
      <c r="MJ7" s="157"/>
      <c r="MK7" s="156">
        <v>1585385</v>
      </c>
      <c r="ML7" s="156">
        <v>696539</v>
      </c>
      <c r="MM7" s="156">
        <v>453363</v>
      </c>
      <c r="MN7" s="156">
        <v>15222418</v>
      </c>
      <c r="MO7" s="157"/>
      <c r="MP7" s="156">
        <v>1642972</v>
      </c>
      <c r="MQ7" s="156">
        <v>546740</v>
      </c>
      <c r="MR7" s="156">
        <v>305053</v>
      </c>
      <c r="MS7" s="156">
        <v>15087347</v>
      </c>
      <c r="MT7" s="157"/>
      <c r="MU7" s="163" t="s">
        <v>83</v>
      </c>
      <c r="MV7" s="156">
        <v>280998</v>
      </c>
      <c r="MW7" s="156">
        <v>180166</v>
      </c>
      <c r="MX7" s="156">
        <v>102577</v>
      </c>
      <c r="MY7" s="180">
        <v>1985920</v>
      </c>
      <c r="MZ7" s="157"/>
      <c r="NA7" s="156">
        <v>215979</v>
      </c>
      <c r="NB7" s="156">
        <v>142418</v>
      </c>
      <c r="NC7" s="156">
        <v>82343</v>
      </c>
      <c r="ND7" s="180">
        <v>1929270</v>
      </c>
      <c r="NE7" s="157"/>
      <c r="NF7" s="156">
        <v>144900</v>
      </c>
      <c r="NG7" s="156">
        <v>96716</v>
      </c>
      <c r="NH7" s="156">
        <v>56649</v>
      </c>
      <c r="NI7" s="180">
        <v>1929486</v>
      </c>
      <c r="NJ7" s="157"/>
      <c r="NK7" s="157"/>
      <c r="NL7" s="157"/>
      <c r="NM7" s="157"/>
      <c r="NN7" s="157"/>
      <c r="NO7" s="157"/>
      <c r="NP7" s="157"/>
      <c r="NQ7" s="157"/>
      <c r="NR7" s="157"/>
      <c r="NS7" s="157"/>
      <c r="NT7" s="157"/>
      <c r="NU7" s="157"/>
      <c r="NV7" s="157"/>
      <c r="NW7" s="157"/>
      <c r="NX7" s="157"/>
      <c r="NY7" s="157"/>
      <c r="NZ7" s="157"/>
      <c r="OA7" s="157"/>
      <c r="OB7" s="157"/>
      <c r="OC7" s="157"/>
      <c r="OD7" s="157"/>
      <c r="OE7" s="157"/>
      <c r="OF7" s="157"/>
      <c r="OG7" s="157"/>
      <c r="OH7" s="157"/>
      <c r="OI7" s="157"/>
      <c r="OJ7" s="157"/>
      <c r="OK7" s="157"/>
      <c r="OL7" s="157"/>
      <c r="OM7" s="157"/>
      <c r="ON7" s="157"/>
      <c r="OO7" s="157"/>
      <c r="OP7" s="157"/>
      <c r="OQ7" s="157"/>
      <c r="OR7" s="157"/>
      <c r="OS7" s="157"/>
      <c r="OT7" s="157"/>
      <c r="OU7" s="157"/>
      <c r="OV7" s="157"/>
      <c r="OW7" s="157"/>
      <c r="OX7" s="157"/>
      <c r="OY7" s="157"/>
      <c r="OZ7" s="157"/>
      <c r="PA7" s="157"/>
    </row>
    <row r="8" spans="1:417">
      <c r="A8" s="59" t="s">
        <v>79</v>
      </c>
      <c r="C8" s="610">
        <f>([3]segmenty!$F$9)*1000</f>
        <v>6641000</v>
      </c>
      <c r="D8" s="610">
        <f>([3]segmenty!$F$34)*1000</f>
        <v>448000</v>
      </c>
      <c r="E8" s="610">
        <f>([3]segmenty!$F$31)*1000</f>
        <v>447000</v>
      </c>
      <c r="F8" s="610">
        <f>([3]segmenty!$F$25)*1000</f>
        <v>6138000</v>
      </c>
      <c r="H8" s="610"/>
      <c r="I8" s="610"/>
      <c r="J8" s="610"/>
      <c r="K8" s="610"/>
      <c r="M8" s="610">
        <f t="shared" si="13"/>
        <v>-20124000</v>
      </c>
      <c r="N8" s="610">
        <f t="shared" si="13"/>
        <v>-762000</v>
      </c>
      <c r="O8" s="610">
        <f t="shared" si="13"/>
        <v>-721000</v>
      </c>
      <c r="P8" s="610">
        <f t="shared" si="14"/>
        <v>0</v>
      </c>
      <c r="R8" s="610">
        <f>([5]segmenty!$F$9)*1000</f>
        <v>20124000</v>
      </c>
      <c r="S8" s="610">
        <f>([5]segmenty!$F$34)*1000</f>
        <v>762000</v>
      </c>
      <c r="T8" s="610">
        <f>([5]segmenty!$F$31)*1000</f>
        <v>721000</v>
      </c>
      <c r="U8" s="610">
        <f>([5]segmenty!$F$25)*1000</f>
        <v>5215000</v>
      </c>
      <c r="W8" s="610">
        <f>('[5]segmenty 3 m-ce'!$F$69)*1000</f>
        <v>8421000</v>
      </c>
      <c r="X8" s="610">
        <f>('[5]segmenty 3 m-ce'!$F$84)*1000</f>
        <v>63000</v>
      </c>
      <c r="Y8" s="610">
        <f>('[5]segmenty 3 m-ce'!$F$81)*1000</f>
        <v>48000</v>
      </c>
      <c r="Z8" s="610">
        <f t="shared" si="15"/>
        <v>5215000</v>
      </c>
      <c r="AB8" s="610">
        <v>11703000</v>
      </c>
      <c r="AC8" s="610">
        <v>699000</v>
      </c>
      <c r="AD8" s="610">
        <v>673000</v>
      </c>
      <c r="AE8" s="610">
        <v>5370000</v>
      </c>
      <c r="AG8" s="610">
        <v>5199000</v>
      </c>
      <c r="AH8" s="610">
        <v>363000</v>
      </c>
      <c r="AI8" s="610">
        <v>350000</v>
      </c>
      <c r="AJ8" s="610">
        <f t="shared" si="16"/>
        <v>5370000</v>
      </c>
      <c r="AL8" s="610">
        <f>[6]segmenty!$E$9*1000</f>
        <v>6494000</v>
      </c>
      <c r="AM8" s="610">
        <f>[6]segmenty!$E$34*1000</f>
        <v>335000</v>
      </c>
      <c r="AN8" s="610">
        <f>[6]segmenty!$E$31*1000</f>
        <v>322000</v>
      </c>
      <c r="AO8" s="610">
        <f>[6]segmenty!$E$25*1000</f>
        <v>6851000</v>
      </c>
      <c r="AQ8" s="610">
        <f>([7]segmenty!$E$9)*1000</f>
        <v>35803000</v>
      </c>
      <c r="AR8" s="610">
        <f>([7]segmenty!$E$34)*1000</f>
        <v>568000</v>
      </c>
      <c r="AS8" s="610">
        <f>([7]segmenty!$E$31)*1000</f>
        <v>522000</v>
      </c>
      <c r="AT8" s="610">
        <f>([7]segmenty!$E$25)*1000</f>
        <v>8550000</v>
      </c>
      <c r="AV8" s="610">
        <f t="shared" si="17"/>
        <v>8533000</v>
      </c>
      <c r="AW8" s="610">
        <f t="shared" si="17"/>
        <v>112000</v>
      </c>
      <c r="AX8" s="610">
        <f t="shared" si="17"/>
        <v>108000</v>
      </c>
      <c r="AY8" s="610">
        <f t="shared" si="18"/>
        <v>8550000</v>
      </c>
      <c r="BA8" s="610">
        <f>([8]segmenty!$E$9)*1000</f>
        <v>27270000</v>
      </c>
      <c r="BB8" s="610">
        <f>([8]segmenty!$E$34)*1000</f>
        <v>456000</v>
      </c>
      <c r="BC8" s="610">
        <f>([8]segmenty!$E$31)*1000</f>
        <v>414000</v>
      </c>
      <c r="BD8" s="610">
        <f>([8]segmenty!$E$25)*1000</f>
        <v>8842000</v>
      </c>
      <c r="BF8" s="610">
        <f>('[8]segmenty 3 m-ce PREZ'!$E$9)*1000</f>
        <v>6349000</v>
      </c>
      <c r="BG8" s="610">
        <f>('[8]segmenty 3 m-ce PREZ'!$E$16)*1000</f>
        <v>-91000</v>
      </c>
      <c r="BH8" s="610">
        <f>('[8]segmenty 3 m-ce PREZ'!$E$12)*1000</f>
        <v>-104000</v>
      </c>
      <c r="BI8" s="610">
        <f t="shared" si="19"/>
        <v>8842000</v>
      </c>
      <c r="BK8" s="610">
        <f>[9]segmenty!$E$9*1000</f>
        <v>20921000</v>
      </c>
      <c r="BL8" s="610">
        <f>[9]segmenty!$E$34*1000</f>
        <v>547000</v>
      </c>
      <c r="BM8" s="610">
        <f>[9]segmenty!$E$31*1000</f>
        <v>518000</v>
      </c>
      <c r="BN8" s="610">
        <f>[9]segmenty!$E$25*1000</f>
        <v>8069000</v>
      </c>
      <c r="BP8" s="610">
        <f>('[9]segmenty 3 m-ce'!$E$69)*1000</f>
        <v>8689000</v>
      </c>
      <c r="BQ8" s="610">
        <f>('[9]segmenty 3 m-ce'!$E$84)*1000</f>
        <v>402000</v>
      </c>
      <c r="BR8" s="610">
        <f>('[9]segmenty 3 m-ce'!$E$81)*1000</f>
        <v>386000</v>
      </c>
      <c r="BS8" s="610">
        <f t="shared" si="20"/>
        <v>8069000</v>
      </c>
      <c r="BU8" s="610">
        <f>[10]segmenty!$E$9*1000</f>
        <v>12232000</v>
      </c>
      <c r="BV8" s="610">
        <f>[10]segmenty!$E$34*1000</f>
        <v>145000</v>
      </c>
      <c r="BW8" s="610">
        <f>[10]segmenty!$E$31*1000</f>
        <v>132000</v>
      </c>
      <c r="BX8" s="610">
        <f>[10]segmenty!$E$25*1000</f>
        <v>10826000</v>
      </c>
      <c r="BZ8" s="610">
        <f t="shared" si="21"/>
        <v>9180000</v>
      </c>
      <c r="CA8" s="610">
        <f t="shared" si="21"/>
        <v>85000</v>
      </c>
      <c r="CB8" s="610">
        <f t="shared" si="21"/>
        <v>74000</v>
      </c>
      <c r="CC8" s="610">
        <f t="shared" si="22"/>
        <v>6701000</v>
      </c>
      <c r="CE8" s="610">
        <v>35491000</v>
      </c>
      <c r="CF8" s="610">
        <v>594000</v>
      </c>
      <c r="CG8" s="610">
        <v>550000</v>
      </c>
      <c r="CH8" s="610">
        <v>6701000</v>
      </c>
      <c r="CJ8" s="467">
        <v>8058000</v>
      </c>
      <c r="CK8" s="467">
        <v>468000</v>
      </c>
      <c r="CL8" s="467">
        <v>457000</v>
      </c>
      <c r="CM8" s="467">
        <f t="shared" si="0"/>
        <v>6480000</v>
      </c>
      <c r="CO8" s="467">
        <v>26311000</v>
      </c>
      <c r="CP8" s="467">
        <v>509000</v>
      </c>
      <c r="CQ8" s="467">
        <v>476000</v>
      </c>
      <c r="CR8" s="467">
        <v>6480000</v>
      </c>
      <c r="CT8" s="467">
        <f t="shared" si="1"/>
        <v>7670000</v>
      </c>
      <c r="CU8" s="467">
        <f t="shared" si="1"/>
        <v>144000</v>
      </c>
      <c r="CV8" s="467">
        <f t="shared" si="1"/>
        <v>132000</v>
      </c>
      <c r="CW8" s="467">
        <v>5667000</v>
      </c>
      <c r="CY8" s="467">
        <v>18257000</v>
      </c>
      <c r="CZ8" s="467">
        <v>41000</v>
      </c>
      <c r="DA8" s="467">
        <v>19000</v>
      </c>
      <c r="DB8" s="467">
        <v>5667000</v>
      </c>
      <c r="DD8" s="467">
        <v>10587000</v>
      </c>
      <c r="DE8" s="467">
        <v>-103000</v>
      </c>
      <c r="DF8" s="467">
        <v>-113000</v>
      </c>
      <c r="DG8" s="467">
        <v>5899000</v>
      </c>
      <c r="DI8" s="467">
        <f t="shared" si="2"/>
        <v>7795708</v>
      </c>
      <c r="DJ8" s="467">
        <f t="shared" si="2"/>
        <v>-500916</v>
      </c>
      <c r="DK8" s="467">
        <f t="shared" si="2"/>
        <v>-510152</v>
      </c>
      <c r="DL8" s="467">
        <f t="shared" si="3"/>
        <v>4508000</v>
      </c>
      <c r="DN8" s="467">
        <v>24134000</v>
      </c>
      <c r="DO8" s="467">
        <v>-524000</v>
      </c>
      <c r="DP8" s="467">
        <v>-564000</v>
      </c>
      <c r="DQ8" s="467">
        <v>4508000</v>
      </c>
      <c r="DS8" s="467">
        <f t="shared" si="4"/>
        <v>5613346</v>
      </c>
      <c r="DT8" s="467">
        <f t="shared" si="4"/>
        <v>-259613</v>
      </c>
      <c r="DU8" s="467">
        <f t="shared" si="4"/>
        <v>-270528</v>
      </c>
      <c r="DV8" s="467">
        <f t="shared" si="5"/>
        <v>4393222</v>
      </c>
      <c r="DX8" s="467">
        <v>16338292</v>
      </c>
      <c r="DY8" s="467">
        <v>-23084</v>
      </c>
      <c r="DZ8" s="467">
        <v>-53848</v>
      </c>
      <c r="EA8" s="467">
        <v>4393222</v>
      </c>
      <c r="EC8" s="467">
        <f t="shared" si="6"/>
        <v>4644755</v>
      </c>
      <c r="ED8" s="467">
        <f t="shared" si="6"/>
        <v>2408</v>
      </c>
      <c r="EE8" s="467">
        <f t="shared" si="6"/>
        <v>-7803</v>
      </c>
      <c r="EF8" s="467">
        <f t="shared" si="7"/>
        <v>4415857</v>
      </c>
      <c r="EH8" s="467">
        <v>10724946</v>
      </c>
      <c r="EI8" s="467">
        <v>236529</v>
      </c>
      <c r="EJ8" s="467">
        <v>216680</v>
      </c>
      <c r="EK8" s="467">
        <v>4415857</v>
      </c>
      <c r="EM8" s="467">
        <v>6080191</v>
      </c>
      <c r="EN8" s="467">
        <v>234121</v>
      </c>
      <c r="EO8" s="467">
        <v>224483</v>
      </c>
      <c r="EP8" s="467">
        <v>5326016</v>
      </c>
      <c r="ER8" s="467">
        <f t="shared" si="8"/>
        <v>5098664</v>
      </c>
      <c r="ES8" s="467">
        <f t="shared" si="8"/>
        <v>42809</v>
      </c>
      <c r="ET8" s="467">
        <f t="shared" si="8"/>
        <v>34247</v>
      </c>
      <c r="EU8" s="467">
        <f t="shared" si="9"/>
        <v>4614093</v>
      </c>
      <c r="EW8" s="467">
        <v>17249258</v>
      </c>
      <c r="EX8" s="467">
        <v>683352</v>
      </c>
      <c r="EY8" s="467">
        <v>641648</v>
      </c>
      <c r="EZ8" s="467">
        <v>4614093</v>
      </c>
      <c r="FB8" s="467">
        <v>4136093</v>
      </c>
      <c r="FC8" s="467">
        <v>237639</v>
      </c>
      <c r="FD8" s="467">
        <v>228215</v>
      </c>
      <c r="FE8" s="467">
        <f t="shared" si="10"/>
        <v>4015581</v>
      </c>
      <c r="FG8" s="467">
        <v>12150594</v>
      </c>
      <c r="FH8" s="467">
        <v>640543</v>
      </c>
      <c r="FI8" s="467">
        <v>607401</v>
      </c>
      <c r="FJ8" s="467">
        <v>4015581</v>
      </c>
      <c r="FL8" s="467">
        <f t="shared" si="11"/>
        <v>3783659</v>
      </c>
      <c r="FM8" s="468">
        <f t="shared" si="11"/>
        <v>220472</v>
      </c>
      <c r="FN8" s="467">
        <f t="shared" si="11"/>
        <v>208415</v>
      </c>
      <c r="FO8" s="467">
        <v>3932067</v>
      </c>
      <c r="FQ8" s="467">
        <v>8014501</v>
      </c>
      <c r="FR8" s="468">
        <v>402904</v>
      </c>
      <c r="FS8" s="467">
        <v>379186</v>
      </c>
      <c r="FT8" s="467">
        <v>3932067</v>
      </c>
      <c r="FV8" s="467">
        <v>4230842</v>
      </c>
      <c r="FW8" s="468">
        <v>182432</v>
      </c>
      <c r="FX8" s="467">
        <v>170771</v>
      </c>
      <c r="FY8" s="467">
        <v>5683262</v>
      </c>
      <c r="FZ8" s="5"/>
      <c r="GA8" s="341">
        <v>14907937</v>
      </c>
      <c r="GB8" s="342">
        <v>428577</v>
      </c>
      <c r="GC8" s="341">
        <v>382185</v>
      </c>
      <c r="GD8" s="341">
        <v>4730135</v>
      </c>
      <c r="GF8" s="341">
        <v>4508216</v>
      </c>
      <c r="GG8" s="342">
        <v>-105072</v>
      </c>
      <c r="GH8" s="341">
        <v>-121577</v>
      </c>
      <c r="GI8" s="341">
        <v>4730135</v>
      </c>
      <c r="GK8" s="341">
        <v>11221177</v>
      </c>
      <c r="GL8" s="342">
        <v>533649</v>
      </c>
      <c r="GM8" s="341">
        <v>503762</v>
      </c>
      <c r="GN8" s="341">
        <v>5467453</v>
      </c>
      <c r="GP8" s="341">
        <v>3574882</v>
      </c>
      <c r="GQ8" s="342">
        <v>110407</v>
      </c>
      <c r="GR8" s="341">
        <v>100132</v>
      </c>
      <c r="GS8" s="341">
        <v>5467453</v>
      </c>
      <c r="GV8" s="341">
        <v>7646295</v>
      </c>
      <c r="GW8" s="342">
        <v>423242</v>
      </c>
      <c r="GX8" s="341">
        <v>403630</v>
      </c>
      <c r="GY8" s="341">
        <v>5007556</v>
      </c>
      <c r="HA8" s="341">
        <v>3734873</v>
      </c>
      <c r="HB8" s="342">
        <v>258311</v>
      </c>
      <c r="HC8" s="341">
        <v>248406</v>
      </c>
      <c r="HD8" s="341">
        <v>5007556</v>
      </c>
      <c r="HF8" s="341">
        <v>3911422</v>
      </c>
      <c r="HG8" s="342">
        <v>164931</v>
      </c>
      <c r="HH8" s="341">
        <v>155224</v>
      </c>
      <c r="HI8" s="341">
        <v>4159845</v>
      </c>
      <c r="HK8" s="341">
        <v>14074115</v>
      </c>
      <c r="HL8" s="341">
        <v>320543</v>
      </c>
      <c r="HM8" s="341">
        <v>306481</v>
      </c>
      <c r="HN8" s="341">
        <v>3379688</v>
      </c>
      <c r="HP8" s="341">
        <v>4246144</v>
      </c>
      <c r="HQ8" s="342">
        <v>-130503</v>
      </c>
      <c r="HR8" s="341">
        <v>-139147</v>
      </c>
      <c r="HS8" s="341">
        <v>3379688</v>
      </c>
      <c r="HU8" s="341">
        <v>9827971</v>
      </c>
      <c r="HV8" s="342">
        <v>451046</v>
      </c>
      <c r="HW8" s="341">
        <v>445628</v>
      </c>
      <c r="HX8" s="341">
        <v>3730514</v>
      </c>
      <c r="HZ8" s="341">
        <v>3415412</v>
      </c>
      <c r="IA8" s="342">
        <v>124688</v>
      </c>
      <c r="IB8" s="341">
        <v>123068</v>
      </c>
      <c r="IC8" s="341">
        <v>3730514</v>
      </c>
      <c r="IE8" s="166">
        <v>6615132</v>
      </c>
      <c r="IF8" s="319">
        <v>326358</v>
      </c>
      <c r="IG8" s="166">
        <v>322560</v>
      </c>
      <c r="IH8" s="166">
        <v>2748081</v>
      </c>
      <c r="IJ8" s="166">
        <v>3161469</v>
      </c>
      <c r="IK8" s="319">
        <v>148570</v>
      </c>
      <c r="IL8" s="166">
        <v>146778</v>
      </c>
      <c r="IM8" s="166">
        <v>2748081</v>
      </c>
      <c r="IO8" s="156">
        <v>3453663</v>
      </c>
      <c r="IP8" s="183">
        <v>177788</v>
      </c>
      <c r="IQ8" s="156">
        <v>175782</v>
      </c>
      <c r="IR8" s="156">
        <v>2878641</v>
      </c>
      <c r="IT8" s="156">
        <v>13567887</v>
      </c>
      <c r="IU8" s="156">
        <v>841222</v>
      </c>
      <c r="IV8" s="156">
        <v>832216</v>
      </c>
      <c r="IW8" s="156">
        <v>3041966</v>
      </c>
      <c r="IY8" s="156">
        <v>3760678</v>
      </c>
      <c r="IZ8" s="183">
        <v>150244</v>
      </c>
      <c r="JA8" s="156">
        <v>148297</v>
      </c>
      <c r="JB8" s="156">
        <v>3041966</v>
      </c>
      <c r="JC8" s="157"/>
      <c r="JD8" s="156">
        <v>9807209</v>
      </c>
      <c r="JE8" s="156">
        <v>690978</v>
      </c>
      <c r="JF8" s="156">
        <v>683919</v>
      </c>
      <c r="JG8" s="156">
        <v>4130769</v>
      </c>
      <c r="JH8" s="156"/>
      <c r="JI8" s="156">
        <v>3130213</v>
      </c>
      <c r="JJ8" s="156">
        <v>145582</v>
      </c>
      <c r="JK8" s="156">
        <v>143502</v>
      </c>
      <c r="JL8" s="156">
        <v>4130769</v>
      </c>
      <c r="JM8" s="157"/>
      <c r="JN8" s="156">
        <v>6676996</v>
      </c>
      <c r="JO8" s="156">
        <v>545396</v>
      </c>
      <c r="JP8" s="156">
        <v>540417</v>
      </c>
      <c r="JQ8" s="156">
        <v>2033300</v>
      </c>
      <c r="JR8" s="157"/>
      <c r="JS8" s="156">
        <f t="shared" si="12"/>
        <v>3059559</v>
      </c>
      <c r="JT8" s="156">
        <f t="shared" si="12"/>
        <v>165425</v>
      </c>
      <c r="JU8" s="156">
        <f t="shared" si="12"/>
        <v>163143</v>
      </c>
      <c r="JV8" s="156">
        <f>KA8</f>
        <v>2252443</v>
      </c>
      <c r="JW8" s="157"/>
      <c r="JX8" s="156">
        <v>3617437</v>
      </c>
      <c r="JY8" s="156">
        <v>379971</v>
      </c>
      <c r="JZ8" s="156">
        <v>377274</v>
      </c>
      <c r="KA8" s="156">
        <v>2252443</v>
      </c>
      <c r="KB8" s="157"/>
      <c r="KC8" s="156">
        <v>14016190</v>
      </c>
      <c r="KD8" s="156">
        <v>490005</v>
      </c>
      <c r="KE8" s="156">
        <v>479374</v>
      </c>
      <c r="KF8" s="156">
        <v>2659458</v>
      </c>
      <c r="KG8" s="157"/>
      <c r="KH8" s="156">
        <v>3729207</v>
      </c>
      <c r="KI8" s="156">
        <v>92886</v>
      </c>
      <c r="KJ8" s="156">
        <v>90563</v>
      </c>
      <c r="KK8" s="156">
        <v>2659458</v>
      </c>
      <c r="KL8" s="157"/>
      <c r="KM8" s="156">
        <v>10286983</v>
      </c>
      <c r="KN8" s="156">
        <v>397119</v>
      </c>
      <c r="KO8" s="156">
        <v>388811</v>
      </c>
      <c r="KP8" s="156">
        <v>2204864</v>
      </c>
      <c r="KQ8" s="157"/>
      <c r="KR8" s="156">
        <v>3299797</v>
      </c>
      <c r="KS8" s="156">
        <v>117315</v>
      </c>
      <c r="KT8" s="156">
        <v>114921</v>
      </c>
      <c r="KU8" s="156">
        <v>2204864</v>
      </c>
      <c r="KV8" s="157"/>
      <c r="KW8" s="156">
        <v>6987186</v>
      </c>
      <c r="KX8" s="156">
        <v>279804</v>
      </c>
      <c r="KY8" s="156">
        <v>273890</v>
      </c>
      <c r="KZ8" s="156">
        <v>2310378</v>
      </c>
      <c r="LA8" s="157"/>
      <c r="LB8" s="156">
        <v>3395998</v>
      </c>
      <c r="LC8" s="156">
        <v>113042</v>
      </c>
      <c r="LD8" s="156">
        <v>113669</v>
      </c>
      <c r="LE8" s="156">
        <v>2310378</v>
      </c>
      <c r="LF8" s="157"/>
      <c r="LG8" s="156">
        <v>3591188</v>
      </c>
      <c r="LH8" s="156">
        <v>166762</v>
      </c>
      <c r="LI8" s="156">
        <v>160221</v>
      </c>
      <c r="LJ8" s="156">
        <v>2398142</v>
      </c>
      <c r="LK8" s="157"/>
      <c r="LL8" s="156">
        <v>15984139</v>
      </c>
      <c r="LM8" s="156">
        <v>380480</v>
      </c>
      <c r="LN8" s="156">
        <v>369604</v>
      </c>
      <c r="LO8" s="156">
        <v>2706907</v>
      </c>
      <c r="LP8" s="163"/>
      <c r="LQ8" s="156">
        <v>4170986</v>
      </c>
      <c r="LR8" s="156">
        <v>-71455</v>
      </c>
      <c r="LS8" s="156">
        <v>-74193</v>
      </c>
      <c r="LT8" s="156">
        <v>2706907</v>
      </c>
      <c r="LU8" s="163"/>
      <c r="LV8" s="156">
        <v>11813153</v>
      </c>
      <c r="LW8" s="156">
        <v>451935</v>
      </c>
      <c r="LX8" s="156">
        <v>443797</v>
      </c>
      <c r="LY8" s="156">
        <v>3016254</v>
      </c>
      <c r="LZ8" s="157"/>
      <c r="MA8" s="156">
        <v>3719173</v>
      </c>
      <c r="MB8" s="156">
        <v>116782</v>
      </c>
      <c r="MC8" s="156">
        <v>114042</v>
      </c>
      <c r="MD8" s="156">
        <v>3016254</v>
      </c>
      <c r="ME8" s="157"/>
      <c r="MF8" s="156">
        <v>8093980</v>
      </c>
      <c r="MG8" s="156">
        <v>335153</v>
      </c>
      <c r="MH8" s="156">
        <v>329755</v>
      </c>
      <c r="MI8" s="156">
        <v>2836963</v>
      </c>
      <c r="MJ8" s="157"/>
      <c r="MK8" s="156">
        <v>3915698</v>
      </c>
      <c r="ML8" s="156">
        <v>141382</v>
      </c>
      <c r="MM8" s="156">
        <v>138710</v>
      </c>
      <c r="MN8" s="156">
        <v>2836963</v>
      </c>
      <c r="MO8" s="157"/>
      <c r="MP8" s="156">
        <v>4178282</v>
      </c>
      <c r="MQ8" s="156">
        <v>193771</v>
      </c>
      <c r="MR8" s="156">
        <v>191045</v>
      </c>
      <c r="MS8" s="156">
        <v>3003005</v>
      </c>
      <c r="MT8" s="157"/>
      <c r="MU8" s="163" t="s">
        <v>84</v>
      </c>
      <c r="MV8" s="156">
        <v>1355454</v>
      </c>
      <c r="MW8" s="156">
        <v>308407</v>
      </c>
      <c r="MX8" s="156">
        <v>158763</v>
      </c>
      <c r="MY8" s="156">
        <v>2781001</v>
      </c>
      <c r="MZ8" s="157"/>
      <c r="NA8" s="156">
        <v>966998</v>
      </c>
      <c r="NB8" s="156">
        <v>181802</v>
      </c>
      <c r="NC8" s="156">
        <v>71156</v>
      </c>
      <c r="ND8" s="156">
        <v>3101958</v>
      </c>
      <c r="NE8" s="157"/>
      <c r="NF8" s="156">
        <v>717877</v>
      </c>
      <c r="NG8" s="156">
        <v>165226</v>
      </c>
      <c r="NH8" s="156">
        <v>92480</v>
      </c>
      <c r="NI8" s="156">
        <v>2962505</v>
      </c>
      <c r="NJ8" s="157"/>
      <c r="NK8" s="157"/>
      <c r="NL8" s="157"/>
      <c r="NM8" s="157"/>
      <c r="NN8" s="157"/>
      <c r="NO8" s="157"/>
      <c r="NP8" s="157"/>
      <c r="NQ8" s="157"/>
      <c r="NR8" s="157"/>
      <c r="NS8" s="157"/>
      <c r="NT8" s="157"/>
      <c r="NU8" s="157"/>
      <c r="NV8" s="157"/>
      <c r="NW8" s="157"/>
      <c r="NX8" s="157"/>
      <c r="NY8" s="157"/>
      <c r="NZ8" s="157"/>
      <c r="OA8" s="157"/>
      <c r="OB8" s="157"/>
      <c r="OC8" s="157"/>
      <c r="OD8" s="157"/>
      <c r="OE8" s="157"/>
      <c r="OF8" s="157"/>
      <c r="OG8" s="157"/>
      <c r="OH8" s="157"/>
      <c r="OI8" s="157"/>
      <c r="OJ8" s="157"/>
      <c r="OK8" s="157"/>
      <c r="OL8" s="157"/>
      <c r="OM8" s="157"/>
      <c r="ON8" s="157"/>
      <c r="OO8" s="157"/>
      <c r="OP8" s="157"/>
      <c r="OQ8" s="157"/>
      <c r="OR8" s="157"/>
      <c r="OS8" s="157"/>
      <c r="OT8" s="157"/>
      <c r="OU8" s="157"/>
      <c r="OV8" s="157"/>
      <c r="OW8" s="157"/>
      <c r="OX8" s="157"/>
      <c r="OY8" s="157"/>
      <c r="OZ8" s="157"/>
      <c r="PA8" s="157"/>
    </row>
    <row r="9" spans="1:417">
      <c r="A9" s="59" t="s">
        <v>80</v>
      </c>
      <c r="C9" s="610">
        <f>([3]segmenty!$G$9)*1000</f>
        <v>369000</v>
      </c>
      <c r="D9" s="610">
        <f>([3]segmenty!$G$34)*1000</f>
        <v>102000</v>
      </c>
      <c r="E9" s="610">
        <f>([3]segmenty!$G$31)*1000</f>
        <v>38000</v>
      </c>
      <c r="F9" s="610">
        <f>([3]segmenty!$G$25)*1000</f>
        <v>1889000</v>
      </c>
      <c r="H9" s="610"/>
      <c r="I9" s="610"/>
      <c r="J9" s="610"/>
      <c r="K9" s="610"/>
      <c r="M9" s="610">
        <f t="shared" si="13"/>
        <v>-937000</v>
      </c>
      <c r="N9" s="610">
        <f t="shared" si="13"/>
        <v>-314000</v>
      </c>
      <c r="O9" s="610">
        <f t="shared" si="13"/>
        <v>-146000</v>
      </c>
      <c r="P9" s="610">
        <f t="shared" si="14"/>
        <v>0</v>
      </c>
      <c r="R9" s="610">
        <f>([5]segmenty!$G$9)*1000</f>
        <v>937000</v>
      </c>
      <c r="S9" s="610">
        <f>([5]segmenty!$G$34)*1000</f>
        <v>314000</v>
      </c>
      <c r="T9" s="610">
        <f>([5]segmenty!$G$31)*1000</f>
        <v>146000</v>
      </c>
      <c r="U9" s="610">
        <f>([5]segmenty!$G$25)*1000</f>
        <v>1265000</v>
      </c>
      <c r="W9" s="610">
        <f>('[5]segmenty 3 m-ce'!$G$69)*1000</f>
        <v>309000</v>
      </c>
      <c r="X9" s="610">
        <f>('[5]segmenty 3 m-ce'!$G$84)*1000</f>
        <v>100000</v>
      </c>
      <c r="Y9" s="610">
        <f>('[5]segmenty 3 m-ce'!$G$81)*1000</f>
        <v>43000</v>
      </c>
      <c r="Z9" s="610">
        <f t="shared" si="15"/>
        <v>1265000</v>
      </c>
      <c r="AB9" s="610">
        <v>628000</v>
      </c>
      <c r="AC9" s="610">
        <v>214000</v>
      </c>
      <c r="AD9" s="610">
        <v>103000</v>
      </c>
      <c r="AE9" s="610">
        <v>1264000</v>
      </c>
      <c r="AG9" s="610">
        <v>308000</v>
      </c>
      <c r="AH9" s="610">
        <v>113000</v>
      </c>
      <c r="AI9" s="610">
        <v>60000</v>
      </c>
      <c r="AJ9" s="610">
        <f t="shared" si="16"/>
        <v>1264000</v>
      </c>
      <c r="AL9" s="610">
        <f>[6]segmenty!$F$9*1000</f>
        <v>421000</v>
      </c>
      <c r="AM9" s="610">
        <f>[6]segmenty!$F$34*1000</f>
        <v>110000</v>
      </c>
      <c r="AN9" s="610">
        <f>[6]segmenty!$F$31*1000</f>
        <v>53000</v>
      </c>
      <c r="AO9" s="610">
        <f>[6]segmenty!$F$25*1000</f>
        <v>1296000</v>
      </c>
      <c r="AQ9" s="610">
        <f>([7]segmenty!$F$9)*1000</f>
        <v>1542000</v>
      </c>
      <c r="AR9" s="610">
        <f>([7]segmenty!$F$34)*1000</f>
        <v>273000</v>
      </c>
      <c r="AS9" s="610">
        <f>([7]segmenty!$F$31)*1000</f>
        <v>96000</v>
      </c>
      <c r="AT9" s="610">
        <f>([7]segmenty!$F$25)*1000</f>
        <v>1317000</v>
      </c>
      <c r="AV9" s="610">
        <f t="shared" si="17"/>
        <v>460000</v>
      </c>
      <c r="AW9" s="610">
        <f t="shared" si="17"/>
        <v>105000</v>
      </c>
      <c r="AX9" s="610">
        <f t="shared" si="17"/>
        <v>59000</v>
      </c>
      <c r="AY9" s="610">
        <f t="shared" si="18"/>
        <v>1317000</v>
      </c>
      <c r="BA9" s="610">
        <f>([8]segmenty!$F$9)*1000</f>
        <v>1082000</v>
      </c>
      <c r="BB9" s="610">
        <f>([8]segmenty!$F$34)*1000</f>
        <v>168000</v>
      </c>
      <c r="BC9" s="610">
        <f>([8]segmenty!$F$31)*1000</f>
        <v>37000</v>
      </c>
      <c r="BD9" s="610">
        <f>([8]segmenty!$F$25)*1000</f>
        <v>1130000</v>
      </c>
      <c r="BF9" s="610">
        <f>('[8]segmenty 3 m-ce PREZ'!$F$9)*1000</f>
        <v>357000</v>
      </c>
      <c r="BG9" s="610">
        <f>('[8]segmenty 3 m-ce PREZ'!$F$16)*1000</f>
        <v>53000</v>
      </c>
      <c r="BH9" s="610">
        <f>('[8]segmenty 3 m-ce PREZ'!$F$12)*1000</f>
        <v>7000</v>
      </c>
      <c r="BI9" s="610">
        <f t="shared" si="19"/>
        <v>1130000</v>
      </c>
      <c r="BK9" s="610">
        <f>[9]segmenty!$F$9*1000</f>
        <v>725000</v>
      </c>
      <c r="BL9" s="610">
        <f>[9]segmenty!$F$34*1000</f>
        <v>115000</v>
      </c>
      <c r="BM9" s="610">
        <f>[9]segmenty!$F$31*1000</f>
        <v>30000</v>
      </c>
      <c r="BN9" s="610">
        <f>[9]segmenty!$F$25*1000</f>
        <v>1147000</v>
      </c>
      <c r="BP9" s="610">
        <f>('[9]segmenty 3 m-ce'!$F$69)*1000</f>
        <v>339000</v>
      </c>
      <c r="BQ9" s="610">
        <f>('[9]segmenty 3 m-ce'!$F$84)*1000</f>
        <v>45000</v>
      </c>
      <c r="BR9" s="610">
        <f>('[9]segmenty 3 m-ce'!$F$81)*1000</f>
        <v>3000</v>
      </c>
      <c r="BS9" s="610">
        <f t="shared" si="20"/>
        <v>1147000</v>
      </c>
      <c r="BU9" s="610">
        <f>[10]segmenty!$F$9*1000</f>
        <v>386000</v>
      </c>
      <c r="BV9" s="610">
        <f>[10]segmenty!$F$34*1000</f>
        <v>70000</v>
      </c>
      <c r="BW9" s="610">
        <f>[10]segmenty!$F$31*1000</f>
        <v>27000</v>
      </c>
      <c r="BX9" s="610">
        <f>[10]segmenty!$F$25*1000</f>
        <v>1144000</v>
      </c>
      <c r="BZ9" s="610">
        <f t="shared" si="21"/>
        <v>373000</v>
      </c>
      <c r="CA9" s="610">
        <f t="shared" si="21"/>
        <v>129000</v>
      </c>
      <c r="CB9" s="610">
        <f t="shared" si="21"/>
        <v>92000</v>
      </c>
      <c r="CC9" s="610">
        <f t="shared" si="22"/>
        <v>1156000</v>
      </c>
      <c r="CE9" s="610">
        <v>1428000</v>
      </c>
      <c r="CF9" s="610">
        <v>298000</v>
      </c>
      <c r="CG9" s="610">
        <v>163000</v>
      </c>
      <c r="CH9" s="610">
        <v>1156000</v>
      </c>
      <c r="CJ9" s="467">
        <v>350000</v>
      </c>
      <c r="CK9" s="467">
        <v>44000</v>
      </c>
      <c r="CL9" s="467">
        <v>12000</v>
      </c>
      <c r="CM9" s="467">
        <f t="shared" si="0"/>
        <v>1021000</v>
      </c>
      <c r="CO9" s="467">
        <v>1055000</v>
      </c>
      <c r="CP9" s="467">
        <v>169000</v>
      </c>
      <c r="CQ9" s="467">
        <v>71000</v>
      </c>
      <c r="CR9" s="467">
        <v>1021000</v>
      </c>
      <c r="CT9" s="467">
        <f t="shared" si="1"/>
        <v>346000</v>
      </c>
      <c r="CU9" s="467">
        <f t="shared" si="1"/>
        <v>65000</v>
      </c>
      <c r="CV9" s="467">
        <f t="shared" si="1"/>
        <v>30000</v>
      </c>
      <c r="CW9" s="467">
        <v>1023000</v>
      </c>
      <c r="CY9" s="467">
        <v>705000</v>
      </c>
      <c r="CZ9" s="467">
        <v>125000</v>
      </c>
      <c r="DA9" s="467">
        <v>59000</v>
      </c>
      <c r="DB9" s="467">
        <v>1023000</v>
      </c>
      <c r="DD9" s="467">
        <v>359000</v>
      </c>
      <c r="DE9" s="467">
        <v>60000</v>
      </c>
      <c r="DF9" s="467">
        <v>29000</v>
      </c>
      <c r="DG9" s="467">
        <v>895000</v>
      </c>
      <c r="DI9" s="467">
        <f t="shared" si="2"/>
        <v>337835</v>
      </c>
      <c r="DJ9" s="467">
        <f t="shared" si="2"/>
        <v>57813</v>
      </c>
      <c r="DK9" s="467">
        <f t="shared" si="2"/>
        <v>23662</v>
      </c>
      <c r="DL9" s="467">
        <f t="shared" si="3"/>
        <v>891000</v>
      </c>
      <c r="DN9" s="467">
        <v>1177000</v>
      </c>
      <c r="DO9" s="467">
        <v>208000</v>
      </c>
      <c r="DP9" s="467">
        <v>92000</v>
      </c>
      <c r="DQ9" s="467">
        <v>891000</v>
      </c>
      <c r="DS9" s="467">
        <f t="shared" si="4"/>
        <v>279664</v>
      </c>
      <c r="DT9" s="467">
        <f t="shared" si="4"/>
        <v>44509</v>
      </c>
      <c r="DU9" s="467">
        <f t="shared" si="4"/>
        <v>15730</v>
      </c>
      <c r="DV9" s="467">
        <f t="shared" si="5"/>
        <v>814436</v>
      </c>
      <c r="DX9" s="467">
        <v>839165</v>
      </c>
      <c r="DY9" s="467">
        <v>150187</v>
      </c>
      <c r="DZ9" s="467">
        <v>68338</v>
      </c>
      <c r="EA9" s="467">
        <v>814436</v>
      </c>
      <c r="EC9" s="467">
        <f t="shared" si="6"/>
        <v>272593</v>
      </c>
      <c r="ED9" s="467">
        <f t="shared" si="6"/>
        <v>55913</v>
      </c>
      <c r="EE9" s="467">
        <f t="shared" si="6"/>
        <v>28579</v>
      </c>
      <c r="EF9" s="467">
        <f t="shared" si="7"/>
        <v>799896</v>
      </c>
      <c r="EH9" s="467">
        <v>559501</v>
      </c>
      <c r="EI9" s="467">
        <v>105678</v>
      </c>
      <c r="EJ9" s="467">
        <v>52608</v>
      </c>
      <c r="EK9" s="467">
        <v>799896</v>
      </c>
      <c r="EM9" s="467">
        <v>286908</v>
      </c>
      <c r="EN9" s="467">
        <v>49765</v>
      </c>
      <c r="EO9" s="467">
        <v>24029</v>
      </c>
      <c r="EP9" s="467">
        <v>813988</v>
      </c>
      <c r="ER9" s="467">
        <f t="shared" si="8"/>
        <v>292450</v>
      </c>
      <c r="ES9" s="467">
        <f t="shared" si="8"/>
        <v>17861</v>
      </c>
      <c r="ET9" s="467">
        <f t="shared" si="8"/>
        <v>-6467</v>
      </c>
      <c r="EU9" s="467">
        <f t="shared" si="9"/>
        <v>775856</v>
      </c>
      <c r="EW9" s="467">
        <v>1114492</v>
      </c>
      <c r="EX9" s="467">
        <v>229305</v>
      </c>
      <c r="EY9" s="467">
        <v>136169</v>
      </c>
      <c r="EZ9" s="467">
        <v>775856</v>
      </c>
      <c r="FB9" s="467">
        <v>286091</v>
      </c>
      <c r="FC9" s="467">
        <v>49065</v>
      </c>
      <c r="FD9" s="467">
        <v>24446</v>
      </c>
      <c r="FE9" s="467">
        <f t="shared" si="10"/>
        <v>668133</v>
      </c>
      <c r="FG9" s="467">
        <v>822042</v>
      </c>
      <c r="FH9" s="467">
        <v>211444</v>
      </c>
      <c r="FI9" s="467">
        <v>142636</v>
      </c>
      <c r="FJ9" s="467">
        <v>668133</v>
      </c>
      <c r="FL9" s="467">
        <f t="shared" si="11"/>
        <v>273482</v>
      </c>
      <c r="FM9" s="468">
        <f t="shared" si="11"/>
        <v>123599</v>
      </c>
      <c r="FN9" s="467">
        <f t="shared" si="11"/>
        <v>100460</v>
      </c>
      <c r="FO9" s="467">
        <v>643602</v>
      </c>
      <c r="FQ9" s="467">
        <v>535951</v>
      </c>
      <c r="FR9" s="468">
        <v>162379</v>
      </c>
      <c r="FS9" s="467">
        <v>118190</v>
      </c>
      <c r="FT9" s="467">
        <v>643602</v>
      </c>
      <c r="FV9" s="467">
        <v>262469</v>
      </c>
      <c r="FW9" s="468">
        <v>38780</v>
      </c>
      <c r="FX9" s="467">
        <v>17730</v>
      </c>
      <c r="FY9" s="467">
        <v>645685</v>
      </c>
      <c r="FZ9" s="5"/>
      <c r="GA9" s="341">
        <v>979911</v>
      </c>
      <c r="GB9" s="342">
        <v>136186</v>
      </c>
      <c r="GC9" s="341">
        <v>46152</v>
      </c>
      <c r="GD9" s="341">
        <v>648705</v>
      </c>
      <c r="GF9" s="341">
        <v>247939</v>
      </c>
      <c r="GG9" s="342">
        <v>8695</v>
      </c>
      <c r="GH9" s="341">
        <v>-13448</v>
      </c>
      <c r="GI9" s="341">
        <v>648705</v>
      </c>
      <c r="GK9" s="341">
        <v>731972</v>
      </c>
      <c r="GL9" s="342">
        <v>127491</v>
      </c>
      <c r="GM9" s="341">
        <v>59600</v>
      </c>
      <c r="GN9" s="341">
        <v>570462</v>
      </c>
      <c r="GP9" s="341">
        <v>249043</v>
      </c>
      <c r="GQ9" s="342">
        <v>43029</v>
      </c>
      <c r="GR9" s="341">
        <v>20235</v>
      </c>
      <c r="GS9" s="341">
        <v>570462</v>
      </c>
      <c r="GV9" s="341">
        <v>482929</v>
      </c>
      <c r="GW9" s="342">
        <v>84462</v>
      </c>
      <c r="GX9" s="341">
        <v>39365</v>
      </c>
      <c r="GY9" s="341">
        <v>583361</v>
      </c>
      <c r="HA9" s="341">
        <v>234413</v>
      </c>
      <c r="HB9" s="342">
        <v>40018</v>
      </c>
      <c r="HC9" s="341">
        <v>17339</v>
      </c>
      <c r="HD9" s="341">
        <v>583361</v>
      </c>
      <c r="HF9" s="341">
        <v>248516</v>
      </c>
      <c r="HG9" s="342">
        <v>44444</v>
      </c>
      <c r="HH9" s="341">
        <v>22026</v>
      </c>
      <c r="HI9" s="341">
        <v>599593</v>
      </c>
      <c r="HK9" s="341">
        <v>857462</v>
      </c>
      <c r="HL9" s="341">
        <v>134793</v>
      </c>
      <c r="HM9" s="341">
        <v>46023</v>
      </c>
      <c r="HN9" s="341">
        <v>581497</v>
      </c>
      <c r="HP9" s="341">
        <v>240979</v>
      </c>
      <c r="HQ9" s="342">
        <v>4545</v>
      </c>
      <c r="HR9" s="341">
        <v>-16871</v>
      </c>
      <c r="HS9" s="341">
        <v>581497</v>
      </c>
      <c r="HU9" s="341">
        <v>616483</v>
      </c>
      <c r="HV9" s="342">
        <v>130248</v>
      </c>
      <c r="HW9" s="341">
        <v>62894</v>
      </c>
      <c r="HX9" s="341">
        <v>501583</v>
      </c>
      <c r="HZ9" s="341">
        <v>201877</v>
      </c>
      <c r="IA9" s="342">
        <v>41536</v>
      </c>
      <c r="IB9" s="341">
        <v>18622</v>
      </c>
      <c r="IC9" s="341">
        <v>501583</v>
      </c>
      <c r="IE9" s="166">
        <v>414606</v>
      </c>
      <c r="IF9" s="319">
        <v>88712</v>
      </c>
      <c r="IG9" s="166">
        <v>44272</v>
      </c>
      <c r="IH9" s="166">
        <v>511896</v>
      </c>
      <c r="IJ9" s="166">
        <v>219053</v>
      </c>
      <c r="IK9" s="319">
        <v>49009</v>
      </c>
      <c r="IL9" s="166">
        <v>25412</v>
      </c>
      <c r="IM9" s="166">
        <v>511896</v>
      </c>
      <c r="IO9" s="156">
        <v>195553</v>
      </c>
      <c r="IP9" s="183">
        <v>39703</v>
      </c>
      <c r="IQ9" s="156">
        <v>18860</v>
      </c>
      <c r="IR9" s="156">
        <v>507173</v>
      </c>
      <c r="IT9" s="156">
        <v>804560</v>
      </c>
      <c r="IU9" s="156">
        <v>118043</v>
      </c>
      <c r="IV9" s="156">
        <v>35902</v>
      </c>
      <c r="IW9" s="156">
        <v>508825</v>
      </c>
      <c r="IY9" s="156">
        <v>206198</v>
      </c>
      <c r="IZ9" s="183">
        <v>3431</v>
      </c>
      <c r="JA9" s="156">
        <v>-19915</v>
      </c>
      <c r="JB9" s="156">
        <v>508825</v>
      </c>
      <c r="JC9" s="157"/>
      <c r="JD9" s="156">
        <v>598362</v>
      </c>
      <c r="JE9" s="156">
        <v>114612</v>
      </c>
      <c r="JF9" s="156">
        <v>55817</v>
      </c>
      <c r="JG9" s="156">
        <v>455307</v>
      </c>
      <c r="JH9" s="156"/>
      <c r="JI9" s="156">
        <v>205774</v>
      </c>
      <c r="JJ9" s="156">
        <v>37977</v>
      </c>
      <c r="JK9" s="156">
        <v>17870</v>
      </c>
      <c r="JL9" s="156">
        <v>455307</v>
      </c>
      <c r="JM9" s="157"/>
      <c r="JN9" s="156">
        <v>392588</v>
      </c>
      <c r="JO9" s="156">
        <v>76635</v>
      </c>
      <c r="JP9" s="156">
        <v>37947</v>
      </c>
      <c r="JQ9" s="156">
        <v>445341</v>
      </c>
      <c r="JR9" s="157"/>
      <c r="JS9" s="156">
        <f t="shared" si="12"/>
        <v>197807</v>
      </c>
      <c r="JT9" s="156">
        <f t="shared" si="12"/>
        <v>40909</v>
      </c>
      <c r="JU9" s="156">
        <f t="shared" si="12"/>
        <v>21212</v>
      </c>
      <c r="JV9" s="156">
        <f>KA9</f>
        <v>461173</v>
      </c>
      <c r="JW9" s="157"/>
      <c r="JX9" s="156">
        <v>194781</v>
      </c>
      <c r="JY9" s="156">
        <v>35726</v>
      </c>
      <c r="JZ9" s="156">
        <v>16735</v>
      </c>
      <c r="KA9" s="156">
        <v>461173</v>
      </c>
      <c r="KB9" s="157"/>
      <c r="KC9" s="156">
        <v>827928</v>
      </c>
      <c r="KD9" s="156">
        <v>114570</v>
      </c>
      <c r="KE9" s="156">
        <v>42642</v>
      </c>
      <c r="KF9" s="156">
        <v>468202</v>
      </c>
      <c r="KG9" s="157"/>
      <c r="KH9" s="156">
        <v>211032</v>
      </c>
      <c r="KI9" s="156">
        <v>12302</v>
      </c>
      <c r="KJ9" s="156">
        <v>-5504</v>
      </c>
      <c r="KK9" s="156">
        <v>468202</v>
      </c>
      <c r="KL9" s="157"/>
      <c r="KM9" s="156">
        <v>616896</v>
      </c>
      <c r="KN9" s="156">
        <v>102268</v>
      </c>
      <c r="KO9" s="156">
        <v>48146</v>
      </c>
      <c r="KP9" s="156">
        <v>433699</v>
      </c>
      <c r="KQ9" s="157"/>
      <c r="KR9" s="156">
        <v>188053</v>
      </c>
      <c r="KS9" s="156">
        <v>36232</v>
      </c>
      <c r="KT9" s="156">
        <v>18324</v>
      </c>
      <c r="KU9" s="156">
        <v>433699</v>
      </c>
      <c r="KV9" s="157"/>
      <c r="KW9" s="156">
        <v>428843</v>
      </c>
      <c r="KX9" s="156">
        <v>66036</v>
      </c>
      <c r="KY9" s="156">
        <v>29822</v>
      </c>
      <c r="KZ9" s="156">
        <v>443449</v>
      </c>
      <c r="LA9" s="157"/>
      <c r="LB9" s="156">
        <v>211401</v>
      </c>
      <c r="LC9" s="156">
        <v>35550</v>
      </c>
      <c r="LD9" s="156">
        <v>17383</v>
      </c>
      <c r="LE9" s="156">
        <v>443449</v>
      </c>
      <c r="LF9" s="157"/>
      <c r="LG9" s="156">
        <v>217442</v>
      </c>
      <c r="LH9" s="156">
        <v>30486</v>
      </c>
      <c r="LI9" s="156">
        <v>12439</v>
      </c>
      <c r="LJ9" s="156">
        <v>460262</v>
      </c>
      <c r="LK9" s="157"/>
      <c r="LL9" s="156">
        <v>927953</v>
      </c>
      <c r="LM9" s="156">
        <v>100320</v>
      </c>
      <c r="LN9" s="156">
        <v>32596</v>
      </c>
      <c r="LO9" s="156">
        <v>478618</v>
      </c>
      <c r="LP9" s="163"/>
      <c r="LQ9" s="156">
        <v>225159</v>
      </c>
      <c r="LR9" s="156">
        <v>2137</v>
      </c>
      <c r="LS9" s="156">
        <v>-15376</v>
      </c>
      <c r="LT9" s="156">
        <v>478618</v>
      </c>
      <c r="LU9" s="163"/>
      <c r="LV9" s="156">
        <v>702794</v>
      </c>
      <c r="LW9" s="156">
        <v>98183</v>
      </c>
      <c r="LX9" s="156">
        <v>47972</v>
      </c>
      <c r="LY9" s="156">
        <v>438649</v>
      </c>
      <c r="LZ9" s="157"/>
      <c r="MA9" s="156">
        <v>199648</v>
      </c>
      <c r="MB9" s="156">
        <v>37188</v>
      </c>
      <c r="MC9" s="156">
        <v>20076</v>
      </c>
      <c r="MD9" s="156">
        <v>438649</v>
      </c>
      <c r="ME9" s="157"/>
      <c r="MF9" s="156">
        <v>503146</v>
      </c>
      <c r="MG9" s="156">
        <v>60856</v>
      </c>
      <c r="MH9" s="156">
        <v>27896</v>
      </c>
      <c r="MI9" s="156">
        <v>448459</v>
      </c>
      <c r="MJ9" s="157"/>
      <c r="MK9" s="156">
        <v>239006</v>
      </c>
      <c r="ML9" s="156">
        <v>17517</v>
      </c>
      <c r="MM9" s="156">
        <v>789</v>
      </c>
      <c r="MN9" s="156">
        <v>448459</v>
      </c>
      <c r="MO9" s="157"/>
      <c r="MP9" s="156">
        <v>264140</v>
      </c>
      <c r="MQ9" s="156">
        <v>43339</v>
      </c>
      <c r="MR9" s="156">
        <v>27107</v>
      </c>
      <c r="MS9" s="156">
        <v>484742</v>
      </c>
      <c r="MT9" s="157"/>
      <c r="MU9" s="163" t="s">
        <v>85</v>
      </c>
      <c r="MV9" s="156">
        <v>6074646</v>
      </c>
      <c r="MW9" s="156">
        <v>2157136</v>
      </c>
      <c r="MX9" s="156">
        <v>1209344</v>
      </c>
      <c r="MY9" s="156">
        <v>15012125</v>
      </c>
      <c r="MZ9" s="157"/>
      <c r="NA9" s="156">
        <v>4528811</v>
      </c>
      <c r="NB9" s="156">
        <v>1777840</v>
      </c>
      <c r="NC9" s="156">
        <v>1070837</v>
      </c>
      <c r="ND9" s="156">
        <v>14581007</v>
      </c>
      <c r="NE9" s="157"/>
      <c r="NF9" s="156">
        <v>3048951</v>
      </c>
      <c r="NG9" s="156">
        <v>1169688</v>
      </c>
      <c r="NH9" s="156">
        <v>700012</v>
      </c>
      <c r="NI9" s="156">
        <v>14377042</v>
      </c>
      <c r="NJ9" s="157"/>
      <c r="NK9" s="157"/>
      <c r="NL9" s="157"/>
      <c r="NM9" s="157"/>
      <c r="NN9" s="157"/>
      <c r="NO9" s="157"/>
      <c r="NP9" s="157"/>
      <c r="NQ9" s="157"/>
      <c r="NR9" s="157"/>
      <c r="NS9" s="157"/>
      <c r="NT9" s="157"/>
      <c r="NU9" s="157"/>
      <c r="NV9" s="157"/>
      <c r="NW9" s="157"/>
      <c r="NX9" s="157"/>
      <c r="NY9" s="157"/>
      <c r="NZ9" s="157"/>
      <c r="OA9" s="157"/>
      <c r="OB9" s="157"/>
      <c r="OC9" s="157"/>
      <c r="OD9" s="157"/>
      <c r="OE9" s="157"/>
      <c r="OF9" s="157"/>
      <c r="OG9" s="157"/>
      <c r="OH9" s="157"/>
      <c r="OI9" s="157"/>
      <c r="OJ9" s="157"/>
      <c r="OK9" s="157"/>
      <c r="OL9" s="157"/>
      <c r="OM9" s="157"/>
      <c r="ON9" s="157"/>
      <c r="OO9" s="157"/>
      <c r="OP9" s="157"/>
      <c r="OQ9" s="157"/>
      <c r="OR9" s="157"/>
      <c r="OS9" s="157"/>
      <c r="OT9" s="157"/>
      <c r="OU9" s="157"/>
      <c r="OV9" s="157"/>
      <c r="OW9" s="157"/>
      <c r="OX9" s="157"/>
      <c r="OY9" s="157"/>
      <c r="OZ9" s="157"/>
      <c r="PA9" s="157"/>
    </row>
    <row r="10" spans="1:417">
      <c r="A10" s="59" t="s">
        <v>588</v>
      </c>
      <c r="C10" s="610"/>
      <c r="D10" s="610"/>
      <c r="E10" s="610"/>
      <c r="F10" s="610"/>
      <c r="H10" s="610"/>
      <c r="I10" s="610"/>
      <c r="J10" s="610"/>
      <c r="K10" s="610"/>
      <c r="M10" s="610">
        <f t="shared" si="13"/>
        <v>0</v>
      </c>
      <c r="N10" s="610">
        <f t="shared" si="13"/>
        <v>0</v>
      </c>
      <c r="O10" s="610">
        <f t="shared" si="13"/>
        <v>0</v>
      </c>
      <c r="P10" s="610">
        <f t="shared" si="14"/>
        <v>0</v>
      </c>
      <c r="R10" s="610"/>
      <c r="S10" s="610"/>
      <c r="T10" s="610"/>
      <c r="U10" s="610"/>
      <c r="W10" s="610"/>
      <c r="X10" s="610"/>
      <c r="Y10" s="610"/>
      <c r="Z10" s="610"/>
      <c r="AB10" s="610"/>
      <c r="AC10" s="610"/>
      <c r="AD10" s="610"/>
      <c r="AE10" s="610"/>
      <c r="AG10" s="610"/>
      <c r="AH10" s="610"/>
      <c r="AI10" s="610"/>
      <c r="AJ10" s="610"/>
      <c r="AL10" s="610"/>
      <c r="AM10" s="610"/>
      <c r="AN10" s="610"/>
      <c r="AO10" s="610"/>
      <c r="AQ10" s="610"/>
      <c r="AR10" s="610"/>
      <c r="AS10" s="610"/>
      <c r="AT10" s="610"/>
      <c r="AV10" s="610"/>
      <c r="AW10" s="610"/>
      <c r="AX10" s="610"/>
      <c r="AY10" s="610"/>
      <c r="BA10" s="610"/>
      <c r="BB10" s="610"/>
      <c r="BC10" s="610"/>
      <c r="BD10" s="610"/>
      <c r="BF10" s="610"/>
      <c r="BG10" s="610"/>
      <c r="BH10" s="610"/>
      <c r="BI10" s="610"/>
      <c r="BK10" s="610"/>
      <c r="BL10" s="610"/>
      <c r="BM10" s="610"/>
      <c r="BN10" s="610"/>
      <c r="BP10" s="610"/>
      <c r="BQ10" s="610"/>
      <c r="BR10" s="610"/>
      <c r="BS10" s="610"/>
      <c r="BU10" s="610"/>
      <c r="BV10" s="610"/>
      <c r="BW10" s="610"/>
      <c r="BX10" s="610"/>
      <c r="BZ10" s="610">
        <f>CE10-CO3</f>
        <v>-609000</v>
      </c>
      <c r="CA10" s="610">
        <f>CF10-CP3</f>
        <v>530000</v>
      </c>
      <c r="CB10" s="610">
        <f>CG10-CQ3</f>
        <v>-7000</v>
      </c>
      <c r="CC10" s="610">
        <f t="shared" si="22"/>
        <v>0</v>
      </c>
      <c r="CE10" s="610">
        <v>1030000</v>
      </c>
      <c r="CF10" s="610">
        <v>801000</v>
      </c>
      <c r="CG10" s="610">
        <v>50000</v>
      </c>
      <c r="CH10" s="610">
        <v>0</v>
      </c>
      <c r="CJ10" s="467"/>
      <c r="CK10" s="467"/>
      <c r="CL10" s="467"/>
      <c r="CM10" s="467"/>
      <c r="CO10" s="467"/>
      <c r="CP10" s="467"/>
      <c r="CQ10" s="467"/>
      <c r="CR10" s="467"/>
      <c r="CT10" s="467"/>
      <c r="CU10" s="467"/>
      <c r="CV10" s="467"/>
      <c r="CW10" s="467"/>
      <c r="CY10" s="467"/>
      <c r="CZ10" s="467"/>
      <c r="DA10" s="467"/>
      <c r="DB10" s="467"/>
      <c r="DD10" s="467"/>
      <c r="DE10" s="467"/>
      <c r="DF10" s="467"/>
      <c r="DG10" s="467"/>
      <c r="DI10" s="467"/>
      <c r="DJ10" s="467"/>
      <c r="DK10" s="467"/>
      <c r="DL10" s="467"/>
      <c r="DN10" s="467"/>
      <c r="DO10" s="467"/>
      <c r="DP10" s="467"/>
      <c r="DQ10" s="467"/>
      <c r="DS10" s="467"/>
      <c r="DT10" s="467"/>
      <c r="DU10" s="467"/>
      <c r="DV10" s="467"/>
      <c r="DX10" s="467"/>
      <c r="DY10" s="467"/>
      <c r="DZ10" s="467"/>
      <c r="EA10" s="467"/>
      <c r="EC10" s="467"/>
      <c r="ED10" s="467"/>
      <c r="EE10" s="467"/>
      <c r="EF10" s="467"/>
      <c r="EH10" s="467"/>
      <c r="EI10" s="467"/>
      <c r="EJ10" s="467"/>
      <c r="EK10" s="467"/>
      <c r="EM10" s="467"/>
      <c r="EN10" s="467"/>
      <c r="EO10" s="467"/>
      <c r="EP10" s="467"/>
      <c r="ER10" s="467">
        <f t="shared" si="8"/>
        <v>138487</v>
      </c>
      <c r="ES10" s="467">
        <f t="shared" si="8"/>
        <v>79622</v>
      </c>
      <c r="ET10" s="467">
        <f t="shared" si="8"/>
        <v>76002</v>
      </c>
      <c r="EU10" s="467">
        <f t="shared" si="9"/>
        <v>1805956</v>
      </c>
      <c r="EW10" s="467">
        <v>482608</v>
      </c>
      <c r="EX10" s="467">
        <v>171119</v>
      </c>
      <c r="EY10" s="467">
        <v>-717342</v>
      </c>
      <c r="EZ10" s="467">
        <v>1805956</v>
      </c>
      <c r="FB10" s="467">
        <v>45360</v>
      </c>
      <c r="FC10" s="467">
        <v>-287</v>
      </c>
      <c r="FD10" s="467">
        <v>-15838</v>
      </c>
      <c r="FE10" s="467">
        <f t="shared" si="10"/>
        <v>1715232</v>
      </c>
      <c r="FG10" s="467">
        <v>344121</v>
      </c>
      <c r="FH10" s="467">
        <v>91497</v>
      </c>
      <c r="FI10" s="467">
        <v>-793344</v>
      </c>
      <c r="FJ10" s="467">
        <v>1715232</v>
      </c>
      <c r="FL10" s="467">
        <f t="shared" si="11"/>
        <v>96613</v>
      </c>
      <c r="FM10" s="468">
        <f t="shared" si="11"/>
        <v>15733</v>
      </c>
      <c r="FN10" s="467">
        <f t="shared" si="11"/>
        <v>-821890</v>
      </c>
      <c r="FO10" s="467">
        <v>1704516</v>
      </c>
      <c r="FQ10" s="467">
        <v>298761</v>
      </c>
      <c r="FR10" s="468">
        <v>91784</v>
      </c>
      <c r="FS10" s="467">
        <v>-777506</v>
      </c>
      <c r="FT10" s="467">
        <v>1704516</v>
      </c>
      <c r="FV10" s="467">
        <v>202148</v>
      </c>
      <c r="FW10" s="468">
        <v>76051</v>
      </c>
      <c r="FX10" s="467">
        <v>44384</v>
      </c>
      <c r="FY10" s="467"/>
      <c r="FZ10" s="5"/>
      <c r="GA10" s="341"/>
      <c r="GB10" s="342"/>
      <c r="GC10" s="341"/>
      <c r="GD10" s="341"/>
      <c r="GF10" s="341"/>
      <c r="GG10" s="342"/>
      <c r="GH10" s="341"/>
      <c r="GI10" s="341"/>
      <c r="GK10" s="341"/>
      <c r="GL10" s="342"/>
      <c r="GM10" s="341"/>
      <c r="GN10" s="341"/>
      <c r="GP10" s="341"/>
      <c r="GQ10" s="342"/>
      <c r="GR10" s="341"/>
      <c r="GS10" s="341"/>
      <c r="GV10" s="341"/>
      <c r="GW10" s="342"/>
      <c r="GX10" s="341"/>
      <c r="GY10" s="341"/>
      <c r="HA10" s="341"/>
      <c r="HB10" s="342"/>
      <c r="HC10" s="341"/>
      <c r="HD10" s="341"/>
      <c r="HF10" s="341"/>
      <c r="HG10" s="342"/>
      <c r="HH10" s="341"/>
      <c r="HI10" s="341"/>
      <c r="HK10" s="341"/>
      <c r="HL10" s="341"/>
      <c r="HM10" s="341"/>
      <c r="HN10" s="341"/>
      <c r="HP10" s="341"/>
      <c r="HQ10" s="342"/>
      <c r="HR10" s="341"/>
      <c r="HS10" s="341"/>
      <c r="HU10" s="341"/>
      <c r="HV10" s="342"/>
      <c r="HW10" s="341"/>
      <c r="HX10" s="341"/>
      <c r="HZ10" s="341"/>
      <c r="IA10" s="342"/>
      <c r="IB10" s="341"/>
      <c r="IC10" s="341"/>
      <c r="IE10" s="166"/>
      <c r="IF10" s="319"/>
      <c r="IG10" s="166"/>
      <c r="IH10" s="166"/>
      <c r="IJ10" s="166"/>
      <c r="IK10" s="319"/>
      <c r="IL10" s="166"/>
      <c r="IM10" s="166"/>
      <c r="IO10" s="156"/>
      <c r="IP10" s="183"/>
      <c r="IQ10" s="156"/>
      <c r="IR10" s="156"/>
      <c r="IT10" s="156"/>
      <c r="IU10" s="156"/>
      <c r="IV10" s="156"/>
      <c r="IW10" s="156"/>
      <c r="IY10" s="156"/>
      <c r="IZ10" s="183"/>
      <c r="JA10" s="156"/>
      <c r="JB10" s="156"/>
      <c r="JC10" s="157"/>
      <c r="JD10" s="156"/>
      <c r="JE10" s="156"/>
      <c r="JF10" s="156"/>
      <c r="JG10" s="156"/>
      <c r="JH10" s="156"/>
      <c r="JI10" s="156"/>
      <c r="JJ10" s="156"/>
      <c r="JK10" s="156"/>
      <c r="JL10" s="156"/>
      <c r="JM10" s="157"/>
      <c r="JN10" s="156"/>
      <c r="JO10" s="156"/>
      <c r="JP10" s="156"/>
      <c r="JQ10" s="156"/>
      <c r="JR10" s="157"/>
      <c r="JS10" s="156"/>
      <c r="JT10" s="156"/>
      <c r="JU10" s="156"/>
      <c r="JV10" s="156"/>
      <c r="JW10" s="157"/>
      <c r="JX10" s="156"/>
      <c r="JY10" s="156"/>
      <c r="JZ10" s="156"/>
      <c r="KA10" s="156"/>
      <c r="KB10" s="157"/>
      <c r="KC10" s="156"/>
      <c r="KD10" s="156"/>
      <c r="KE10" s="156"/>
      <c r="KF10" s="156"/>
      <c r="KG10" s="157"/>
      <c r="KH10" s="156"/>
      <c r="KI10" s="156"/>
      <c r="KJ10" s="156"/>
      <c r="KK10" s="156"/>
      <c r="KL10" s="157"/>
      <c r="KM10" s="156"/>
      <c r="KN10" s="156"/>
      <c r="KO10" s="156"/>
      <c r="KP10" s="156"/>
      <c r="KQ10" s="157"/>
      <c r="KR10" s="156"/>
      <c r="KS10" s="156"/>
      <c r="KT10" s="156"/>
      <c r="KU10" s="156"/>
      <c r="KV10" s="157"/>
      <c r="KW10" s="156"/>
      <c r="KX10" s="156"/>
      <c r="KY10" s="156"/>
      <c r="KZ10" s="156"/>
      <c r="LA10" s="157"/>
      <c r="LB10" s="156"/>
      <c r="LC10" s="156"/>
      <c r="LD10" s="156"/>
      <c r="LE10" s="156"/>
      <c r="LF10" s="157"/>
      <c r="LG10" s="156"/>
      <c r="LH10" s="156"/>
      <c r="LI10" s="156"/>
      <c r="LJ10" s="156"/>
      <c r="LK10" s="157"/>
      <c r="LL10" s="156"/>
      <c r="LM10" s="156"/>
      <c r="LN10" s="156"/>
      <c r="LO10" s="156"/>
      <c r="LP10" s="163"/>
      <c r="LQ10" s="156"/>
      <c r="LR10" s="156"/>
      <c r="LS10" s="156"/>
      <c r="LT10" s="156"/>
      <c r="LU10" s="163"/>
      <c r="LV10" s="156"/>
      <c r="LW10" s="156"/>
      <c r="LX10" s="156"/>
      <c r="LY10" s="156"/>
      <c r="LZ10" s="157"/>
      <c r="MA10" s="156"/>
      <c r="MB10" s="156"/>
      <c r="MC10" s="156"/>
      <c r="MD10" s="156"/>
      <c r="ME10" s="157"/>
      <c r="MF10" s="156"/>
      <c r="MG10" s="156"/>
      <c r="MH10" s="156"/>
      <c r="MI10" s="156"/>
      <c r="MJ10" s="157"/>
      <c r="MK10" s="156"/>
      <c r="ML10" s="156"/>
      <c r="MM10" s="156"/>
      <c r="MN10" s="156"/>
      <c r="MO10" s="157"/>
      <c r="MP10" s="156"/>
      <c r="MQ10" s="156"/>
      <c r="MR10" s="156"/>
      <c r="MS10" s="156"/>
      <c r="MT10" s="157"/>
      <c r="MU10" s="163"/>
      <c r="MV10" s="156"/>
      <c r="MW10" s="156"/>
      <c r="MX10" s="156"/>
      <c r="MY10" s="156"/>
      <c r="MZ10" s="157"/>
      <c r="NA10" s="156"/>
      <c r="NB10" s="156"/>
      <c r="NC10" s="156"/>
      <c r="ND10" s="156"/>
      <c r="NE10" s="157"/>
      <c r="NF10" s="156"/>
      <c r="NG10" s="156"/>
      <c r="NH10" s="156"/>
      <c r="NI10" s="156"/>
      <c r="NJ10" s="157"/>
      <c r="NK10" s="157"/>
      <c r="NL10" s="157"/>
      <c r="NM10" s="157"/>
      <c r="NN10" s="157"/>
      <c r="NO10" s="157"/>
      <c r="NP10" s="157"/>
      <c r="NQ10" s="157"/>
      <c r="NR10" s="157"/>
      <c r="NS10" s="157"/>
      <c r="NT10" s="157"/>
      <c r="NU10" s="157"/>
      <c r="NV10" s="157"/>
      <c r="NW10" s="157"/>
      <c r="NX10" s="157"/>
      <c r="NY10" s="157"/>
      <c r="NZ10" s="157"/>
      <c r="OA10" s="157"/>
      <c r="OB10" s="157"/>
      <c r="OC10" s="157"/>
      <c r="OD10" s="157"/>
      <c r="OE10" s="157"/>
      <c r="OF10" s="157"/>
      <c r="OG10" s="157"/>
      <c r="OH10" s="157"/>
      <c r="OI10" s="157"/>
      <c r="OJ10" s="157"/>
      <c r="OK10" s="157"/>
      <c r="OL10" s="157"/>
      <c r="OM10" s="157"/>
      <c r="ON10" s="157"/>
      <c r="OO10" s="157"/>
      <c r="OP10" s="157"/>
      <c r="OQ10" s="157"/>
      <c r="OR10" s="157"/>
      <c r="OS10" s="157"/>
      <c r="OT10" s="157"/>
      <c r="OU10" s="157"/>
      <c r="OV10" s="157"/>
      <c r="OW10" s="157"/>
      <c r="OX10" s="157"/>
      <c r="OY10" s="157"/>
      <c r="OZ10" s="157"/>
      <c r="PA10" s="157"/>
    </row>
    <row r="11" spans="1:417">
      <c r="A11" s="307" t="s">
        <v>879</v>
      </c>
      <c r="C11" s="611">
        <f>([3]segmenty!$H$9)*1000</f>
        <v>-4254000</v>
      </c>
      <c r="D11" s="611">
        <f>([3]segmenty!$H$34)*1000</f>
        <v>-43000</v>
      </c>
      <c r="E11" s="611">
        <f>([3]segmenty!$H$31)*1000</f>
        <v>-40000</v>
      </c>
      <c r="F11" s="611">
        <f>([3]segmenty!$H$25)*1000</f>
        <v>1184000</v>
      </c>
      <c r="H11" s="611"/>
      <c r="I11" s="611"/>
      <c r="J11" s="611"/>
      <c r="K11" s="611"/>
      <c r="M11" s="611">
        <f t="shared" si="13"/>
        <v>13893000</v>
      </c>
      <c r="N11" s="611">
        <f t="shared" si="13"/>
        <v>134000</v>
      </c>
      <c r="O11" s="611">
        <f t="shared" si="13"/>
        <v>126000</v>
      </c>
      <c r="P11" s="611">
        <f t="shared" si="14"/>
        <v>0</v>
      </c>
      <c r="R11" s="611">
        <f>([5]segmenty!$H$9)*1000</f>
        <v>-13893000</v>
      </c>
      <c r="S11" s="611">
        <f>([5]segmenty!$H$34)*1000</f>
        <v>-134000</v>
      </c>
      <c r="T11" s="611">
        <f>([5]segmenty!$H$31)*1000</f>
        <v>-126000</v>
      </c>
      <c r="U11" s="611">
        <f>([5]segmenty!$H$25)*1000</f>
        <v>1436000</v>
      </c>
      <c r="W11" s="611">
        <f>('[5]segmenty 3 m-ce'!$H$69)*1000</f>
        <v>-6153000</v>
      </c>
      <c r="X11" s="611">
        <f>('[5]segmenty 3 m-ce'!$H$84)*1000</f>
        <v>-43000</v>
      </c>
      <c r="Y11" s="611">
        <f>('[5]segmenty 3 m-ce'!$H$81)*1000</f>
        <v>-38000</v>
      </c>
      <c r="Z11" s="611">
        <f t="shared" ref="Z11" si="23">U11</f>
        <v>1436000</v>
      </c>
      <c r="AB11" s="611">
        <f>'[11]segmenty prez'!$H$9*1000</f>
        <v>-7740000</v>
      </c>
      <c r="AC11" s="611">
        <f>'[11]segmenty prez'!$H$16*1000</f>
        <v>-91000</v>
      </c>
      <c r="AD11" s="611">
        <f>'[11]segmenty prez'!$H$12*1000</f>
        <v>-88000</v>
      </c>
      <c r="AE11" s="611">
        <f>[11]segmenty!$H$25*1000</f>
        <v>1333000</v>
      </c>
      <c r="AG11" s="611">
        <f>'[11]segmenty 3 m-ce PREZ'!$H$9*1000</f>
        <v>-3343000</v>
      </c>
      <c r="AH11" s="611">
        <f>'[11]segmenty 3 m-ce PREZ'!$H$16*1000</f>
        <v>-44000</v>
      </c>
      <c r="AI11" s="611">
        <f>'[11]segmenty 3 m-ce PREZ'!$H$12*1000</f>
        <v>-42000</v>
      </c>
      <c r="AJ11" s="611">
        <f>AE11</f>
        <v>1333000</v>
      </c>
      <c r="AL11" s="611">
        <f>'[6]segmenty prez'!$G$9*1000</f>
        <v>-4371000</v>
      </c>
      <c r="AM11" s="611">
        <f>'[6]segmenty prez'!$G$16*1000</f>
        <v>-47000</v>
      </c>
      <c r="AN11" s="611">
        <f>'[6]segmenty prez'!$G$12*1000</f>
        <v>-46000</v>
      </c>
      <c r="AO11" s="611">
        <f>'[6]segmenty prez'!$G$27*1000</f>
        <v>1856000</v>
      </c>
      <c r="AQ11" s="611"/>
      <c r="AR11" s="611"/>
      <c r="AS11" s="611"/>
      <c r="AT11" s="611"/>
      <c r="AV11" s="611"/>
      <c r="AW11" s="611"/>
      <c r="AX11" s="611"/>
      <c r="AY11" s="611"/>
      <c r="BA11" s="611"/>
      <c r="BB11" s="611"/>
      <c r="BC11" s="611"/>
      <c r="BD11" s="611"/>
      <c r="BF11" s="611"/>
      <c r="BG11" s="611"/>
      <c r="BH11" s="611"/>
      <c r="BI11" s="611"/>
      <c r="BK11" s="611"/>
      <c r="BL11" s="611"/>
      <c r="BM11" s="611"/>
      <c r="BN11" s="611"/>
      <c r="BP11" s="611"/>
      <c r="BQ11" s="611"/>
      <c r="BR11" s="611"/>
      <c r="BS11" s="611"/>
      <c r="BU11" s="611"/>
      <c r="BV11" s="611"/>
      <c r="BW11" s="611"/>
      <c r="BX11" s="611"/>
      <c r="BZ11" s="611"/>
      <c r="CA11" s="611"/>
      <c r="CB11" s="611"/>
      <c r="CC11" s="611"/>
      <c r="CE11" s="611"/>
      <c r="CF11" s="611"/>
      <c r="CG11" s="611"/>
      <c r="CH11" s="611"/>
      <c r="CJ11" s="469"/>
      <c r="CK11" s="469"/>
      <c r="CL11" s="469"/>
      <c r="CM11" s="469"/>
      <c r="CO11" s="469"/>
      <c r="CP11" s="469"/>
      <c r="CQ11" s="469"/>
      <c r="CR11" s="469"/>
      <c r="CT11" s="469"/>
      <c r="CU11" s="469"/>
      <c r="CV11" s="469"/>
      <c r="CW11" s="469"/>
      <c r="CY11" s="469"/>
      <c r="CZ11" s="469"/>
      <c r="DA11" s="469"/>
      <c r="DB11" s="469"/>
      <c r="DD11" s="469"/>
      <c r="DE11" s="469"/>
      <c r="DF11" s="469"/>
      <c r="DG11" s="469"/>
      <c r="DI11" s="469"/>
      <c r="DJ11" s="469"/>
      <c r="DK11" s="469"/>
      <c r="DL11" s="469"/>
      <c r="DN11" s="469"/>
      <c r="DO11" s="469"/>
      <c r="DP11" s="469"/>
      <c r="DQ11" s="469"/>
      <c r="DS11" s="469"/>
      <c r="DT11" s="469"/>
      <c r="DU11" s="469"/>
      <c r="DV11" s="469"/>
      <c r="DX11" s="469"/>
      <c r="DY11" s="469"/>
      <c r="DZ11" s="469"/>
      <c r="EA11" s="469"/>
      <c r="EC11" s="469"/>
      <c r="ED11" s="469"/>
      <c r="EE11" s="469"/>
      <c r="EF11" s="469"/>
      <c r="EH11" s="469"/>
      <c r="EI11" s="469"/>
      <c r="EJ11" s="469"/>
      <c r="EK11" s="469"/>
      <c r="EM11" s="469"/>
      <c r="EN11" s="469"/>
      <c r="EO11" s="469"/>
      <c r="EP11" s="469"/>
      <c r="ER11" s="469"/>
      <c r="ES11" s="469"/>
      <c r="ET11" s="469"/>
      <c r="EU11" s="469"/>
      <c r="EW11" s="469"/>
      <c r="EX11" s="469"/>
      <c r="EY11" s="469"/>
      <c r="EZ11" s="469"/>
      <c r="FB11" s="469"/>
      <c r="FC11" s="469"/>
      <c r="FD11" s="469"/>
      <c r="FE11" s="469"/>
      <c r="FG11" s="469"/>
      <c r="FH11" s="469"/>
      <c r="FI11" s="469"/>
      <c r="FJ11" s="469"/>
      <c r="FL11" s="469"/>
      <c r="FM11" s="470"/>
      <c r="FN11" s="469"/>
      <c r="FO11" s="469"/>
      <c r="FQ11" s="469"/>
      <c r="FR11" s="470"/>
      <c r="FS11" s="469"/>
      <c r="FT11" s="469"/>
      <c r="FV11" s="469"/>
      <c r="FW11" s="470"/>
      <c r="FX11" s="469"/>
      <c r="FY11" s="469"/>
      <c r="FZ11" s="5"/>
      <c r="GA11" s="343"/>
      <c r="GB11" s="344"/>
      <c r="GC11" s="343"/>
      <c r="GD11" s="343"/>
      <c r="GF11" s="343"/>
      <c r="GG11" s="344"/>
      <c r="GH11" s="343"/>
      <c r="GI11" s="343"/>
      <c r="GK11" s="343"/>
      <c r="GL11" s="344"/>
      <c r="GM11" s="343"/>
      <c r="GN11" s="343"/>
      <c r="GP11" s="343"/>
      <c r="GQ11" s="344"/>
      <c r="GR11" s="343"/>
      <c r="GS11" s="343"/>
      <c r="GV11" s="343"/>
      <c r="GW11" s="344"/>
      <c r="GX11" s="343"/>
      <c r="GY11" s="343"/>
      <c r="HA11" s="343"/>
      <c r="HB11" s="344"/>
      <c r="HC11" s="343"/>
      <c r="HD11" s="343"/>
      <c r="HF11" s="343"/>
      <c r="HG11" s="344"/>
      <c r="HH11" s="343"/>
      <c r="HI11" s="343"/>
      <c r="HK11" s="343"/>
      <c r="HL11" s="343"/>
      <c r="HM11" s="343"/>
      <c r="HN11" s="343"/>
      <c r="HP11" s="343"/>
      <c r="HQ11" s="344"/>
      <c r="HR11" s="343"/>
      <c r="HS11" s="343"/>
      <c r="HU11" s="343"/>
      <c r="HV11" s="344"/>
      <c r="HW11" s="343"/>
      <c r="HX11" s="343"/>
      <c r="HZ11" s="343"/>
      <c r="IA11" s="344"/>
      <c r="IB11" s="343"/>
      <c r="IC11" s="343"/>
      <c r="IE11" s="320"/>
      <c r="IF11" s="321"/>
      <c r="IG11" s="320"/>
      <c r="IH11" s="320"/>
      <c r="IJ11" s="320"/>
      <c r="IK11" s="321"/>
      <c r="IL11" s="320"/>
      <c r="IM11" s="320"/>
      <c r="IO11" s="181"/>
      <c r="IP11" s="184"/>
      <c r="IQ11" s="181"/>
      <c r="IR11" s="181"/>
      <c r="IT11" s="181"/>
      <c r="IU11" s="181"/>
      <c r="IV11" s="181"/>
      <c r="IW11" s="181"/>
      <c r="IY11" s="181"/>
      <c r="IZ11" s="184"/>
      <c r="JA11" s="181"/>
      <c r="JB11" s="181"/>
      <c r="JC11" s="157"/>
      <c r="JD11" s="181"/>
      <c r="JE11" s="181"/>
      <c r="JF11" s="181"/>
      <c r="JG11" s="181"/>
      <c r="JH11" s="181"/>
      <c r="JI11" s="181"/>
      <c r="JJ11" s="181"/>
      <c r="JK11" s="181"/>
      <c r="JL11" s="181"/>
      <c r="JM11" s="157"/>
      <c r="JN11" s="181"/>
      <c r="JO11" s="181"/>
      <c r="JP11" s="181"/>
      <c r="JQ11" s="181"/>
      <c r="JR11" s="157"/>
      <c r="JS11" s="181"/>
      <c r="JT11" s="181"/>
      <c r="JU11" s="181"/>
      <c r="JV11" s="181"/>
      <c r="JW11" s="157"/>
      <c r="JX11" s="181"/>
      <c r="JY11" s="181"/>
      <c r="JZ11" s="181"/>
      <c r="KA11" s="181"/>
      <c r="KB11" s="157"/>
      <c r="KC11" s="181"/>
      <c r="KD11" s="181"/>
      <c r="KE11" s="181"/>
      <c r="KF11" s="181"/>
      <c r="KG11" s="157"/>
      <c r="KH11" s="181"/>
      <c r="KI11" s="181"/>
      <c r="KJ11" s="181"/>
      <c r="KK11" s="181"/>
      <c r="KL11" s="157"/>
      <c r="KM11" s="181"/>
      <c r="KN11" s="181"/>
      <c r="KO11" s="181"/>
      <c r="KP11" s="181"/>
      <c r="KQ11" s="157"/>
      <c r="KR11" s="181"/>
      <c r="KS11" s="181"/>
      <c r="KT11" s="181"/>
      <c r="KU11" s="181"/>
      <c r="KV11" s="157"/>
      <c r="KW11" s="181"/>
      <c r="KX11" s="181"/>
      <c r="KY11" s="181"/>
      <c r="KZ11" s="181"/>
      <c r="LA11" s="157"/>
      <c r="LB11" s="181"/>
      <c r="LC11" s="181"/>
      <c r="LD11" s="181"/>
      <c r="LE11" s="181"/>
      <c r="LF11" s="157"/>
      <c r="LG11" s="181"/>
      <c r="LH11" s="181"/>
      <c r="LI11" s="181"/>
      <c r="LJ11" s="181"/>
      <c r="LK11" s="157"/>
      <c r="LL11" s="181"/>
      <c r="LM11" s="181"/>
      <c r="LN11" s="181"/>
      <c r="LO11" s="181"/>
      <c r="LP11" s="163"/>
      <c r="LQ11" s="181"/>
      <c r="LR11" s="181"/>
      <c r="LS11" s="181"/>
      <c r="LT11" s="181"/>
      <c r="LU11" s="163"/>
      <c r="LV11" s="181"/>
      <c r="LW11" s="181"/>
      <c r="LX11" s="181"/>
      <c r="LY11" s="181"/>
      <c r="LZ11" s="157"/>
      <c r="MA11" s="181"/>
      <c r="MB11" s="181"/>
      <c r="MC11" s="181"/>
      <c r="MD11" s="181"/>
      <c r="ME11" s="157"/>
      <c r="MF11" s="181"/>
      <c r="MG11" s="181"/>
      <c r="MH11" s="181"/>
      <c r="MI11" s="181"/>
      <c r="MJ11" s="157"/>
      <c r="MK11" s="181"/>
      <c r="ML11" s="181"/>
      <c r="MM11" s="181"/>
      <c r="MN11" s="181"/>
      <c r="MO11" s="157"/>
      <c r="MP11" s="181"/>
      <c r="MQ11" s="181"/>
      <c r="MR11" s="181"/>
      <c r="MS11" s="181"/>
      <c r="MT11" s="157"/>
      <c r="MU11" s="163"/>
      <c r="MV11" s="156"/>
      <c r="MW11" s="156"/>
      <c r="MX11" s="156"/>
      <c r="MY11" s="180"/>
      <c r="MZ11" s="157"/>
      <c r="NA11" s="156"/>
      <c r="NB11" s="156"/>
      <c r="NC11" s="156"/>
      <c r="ND11" s="180"/>
      <c r="NE11" s="157"/>
      <c r="NF11" s="156"/>
      <c r="NG11" s="156"/>
      <c r="NH11" s="156"/>
      <c r="NI11" s="180"/>
      <c r="NJ11" s="157"/>
      <c r="NK11" s="157"/>
      <c r="NL11" s="157"/>
      <c r="NM11" s="157"/>
      <c r="NN11" s="157"/>
      <c r="NO11" s="157"/>
      <c r="NP11" s="157"/>
      <c r="NQ11" s="157"/>
      <c r="NR11" s="157"/>
      <c r="NS11" s="157"/>
      <c r="NT11" s="157"/>
      <c r="NU11" s="157"/>
      <c r="NV11" s="157"/>
      <c r="NW11" s="157"/>
      <c r="NX11" s="157"/>
      <c r="NY11" s="157"/>
      <c r="NZ11" s="157"/>
      <c r="OA11" s="157"/>
      <c r="OB11" s="157"/>
      <c r="OC11" s="157"/>
      <c r="OD11" s="157"/>
      <c r="OE11" s="157"/>
      <c r="OF11" s="157"/>
      <c r="OG11" s="157"/>
      <c r="OH11" s="157"/>
      <c r="OI11" s="157"/>
      <c r="OJ11" s="157"/>
      <c r="OK11" s="157"/>
      <c r="OL11" s="157"/>
      <c r="OM11" s="157"/>
      <c r="ON11" s="157"/>
      <c r="OO11" s="157"/>
      <c r="OP11" s="157"/>
      <c r="OQ11" s="157"/>
      <c r="OR11" s="157"/>
      <c r="OS11" s="157"/>
      <c r="OT11" s="157"/>
      <c r="OU11" s="157"/>
      <c r="OV11" s="157"/>
      <c r="OW11" s="157"/>
      <c r="OX11" s="157"/>
      <c r="OY11" s="157"/>
      <c r="OZ11" s="157"/>
      <c r="PA11" s="157"/>
    </row>
    <row r="12" spans="1:417">
      <c r="D12" s="146"/>
      <c r="I12" s="146"/>
      <c r="N12" s="146"/>
      <c r="S12" s="146"/>
      <c r="X12" s="146"/>
      <c r="AC12" s="146"/>
      <c r="AH12" s="146"/>
      <c r="AM12" s="146"/>
      <c r="AR12" s="146"/>
      <c r="AW12" s="146"/>
      <c r="BB12" s="146"/>
      <c r="BG12" s="146"/>
      <c r="BL12" s="146"/>
      <c r="BQ12" s="146"/>
      <c r="BV12" s="146"/>
      <c r="CA12" s="146"/>
      <c r="CF12" s="146"/>
      <c r="CK12" s="146"/>
      <c r="CP12" s="146"/>
      <c r="CU12" s="146"/>
      <c r="CZ12" s="146"/>
      <c r="DE12" s="146"/>
      <c r="DJ12" s="146"/>
      <c r="DO12" s="146"/>
      <c r="DT12" s="146"/>
      <c r="DY12" s="146"/>
      <c r="ED12" s="146"/>
      <c r="EI12" s="146"/>
      <c r="EN12" s="146"/>
      <c r="ES12" s="146"/>
      <c r="EX12" s="146"/>
      <c r="FC12" s="146"/>
      <c r="FH12" s="146"/>
      <c r="FM12" s="146"/>
      <c r="FR12" s="146"/>
      <c r="FW12" s="146"/>
      <c r="GB12" s="345"/>
      <c r="GG12" s="345"/>
      <c r="GL12" s="345"/>
      <c r="GQ12" s="345"/>
      <c r="GW12" s="345"/>
      <c r="HB12" s="345"/>
      <c r="HG12" s="345"/>
      <c r="HL12" s="345"/>
      <c r="HQ12" s="345"/>
      <c r="HV12" s="345"/>
      <c r="IA12" s="345"/>
      <c r="IF12" s="182"/>
      <c r="IK12" s="182"/>
      <c r="IO12" s="157"/>
      <c r="IP12" s="182"/>
      <c r="IQ12" s="157"/>
      <c r="IR12" s="157"/>
      <c r="IT12" s="157"/>
      <c r="IU12" s="157"/>
      <c r="IV12" s="157"/>
      <c r="IW12" s="157"/>
      <c r="IY12" s="157"/>
      <c r="IZ12" s="182"/>
      <c r="JA12" s="157"/>
      <c r="JB12" s="157"/>
      <c r="JC12" s="157"/>
      <c r="JD12" s="157"/>
      <c r="JE12" s="157"/>
      <c r="JF12" s="157"/>
      <c r="JG12" s="157"/>
      <c r="JH12" s="157"/>
      <c r="JI12" s="157"/>
      <c r="JJ12" s="157"/>
      <c r="JK12" s="157"/>
      <c r="JL12" s="157"/>
      <c r="JM12" s="157"/>
      <c r="JN12" s="157"/>
      <c r="JO12" s="157"/>
      <c r="JP12" s="157"/>
      <c r="JQ12" s="157"/>
      <c r="JR12" s="157"/>
      <c r="JS12" s="157"/>
      <c r="JT12" s="157"/>
      <c r="JU12" s="157"/>
      <c r="JV12" s="157"/>
      <c r="JW12" s="157"/>
      <c r="JX12" s="157"/>
      <c r="JY12" s="157"/>
      <c r="JZ12" s="157"/>
      <c r="KA12" s="157"/>
      <c r="KB12" s="157"/>
      <c r="KC12" s="157"/>
      <c r="KD12" s="157"/>
      <c r="KE12" s="157"/>
      <c r="KF12" s="157"/>
      <c r="KG12" s="157"/>
      <c r="KH12" s="157"/>
      <c r="KI12" s="157"/>
      <c r="KJ12" s="157"/>
      <c r="KK12" s="157"/>
      <c r="KL12" s="157"/>
      <c r="KM12" s="157"/>
      <c r="KN12" s="157"/>
      <c r="KO12" s="157"/>
      <c r="KP12" s="157"/>
      <c r="KQ12" s="157"/>
      <c r="KR12" s="157"/>
      <c r="KS12" s="157"/>
      <c r="KT12" s="157"/>
      <c r="KU12" s="157"/>
      <c r="KV12" s="157"/>
      <c r="KW12" s="157"/>
      <c r="KX12" s="157"/>
      <c r="KY12" s="157"/>
      <c r="KZ12" s="157"/>
      <c r="LA12" s="157"/>
      <c r="LB12" s="157"/>
      <c r="LC12" s="15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57"/>
      <c r="MG12" s="157"/>
      <c r="MH12" s="157"/>
      <c r="MI12" s="157"/>
      <c r="MJ12" s="157"/>
      <c r="MK12" s="157"/>
      <c r="ML12" s="157"/>
      <c r="MM12" s="157"/>
      <c r="MN12" s="157"/>
      <c r="MO12" s="157"/>
      <c r="MP12" s="157"/>
      <c r="MQ12" s="157"/>
      <c r="MR12" s="157"/>
      <c r="MS12" s="157"/>
      <c r="MT12" s="157"/>
      <c r="MU12" s="163" t="s">
        <v>86</v>
      </c>
      <c r="MV12" s="156">
        <v>15277451</v>
      </c>
      <c r="MW12" s="156">
        <v>608213</v>
      </c>
      <c r="MX12" s="156">
        <v>582307</v>
      </c>
      <c r="MY12" s="180">
        <v>3715551</v>
      </c>
      <c r="MZ12" s="157"/>
      <c r="NA12" s="156">
        <v>11266992</v>
      </c>
      <c r="NB12" s="156">
        <v>501464</v>
      </c>
      <c r="NC12" s="156">
        <v>478799</v>
      </c>
      <c r="ND12" s="180">
        <v>2413083</v>
      </c>
      <c r="NE12" s="157"/>
      <c r="NF12" s="156">
        <v>7575109</v>
      </c>
      <c r="NG12" s="156">
        <v>391634</v>
      </c>
      <c r="NH12" s="156">
        <v>373508</v>
      </c>
      <c r="NI12" s="180">
        <v>2040729</v>
      </c>
      <c r="NJ12" s="157"/>
      <c r="NK12" s="157"/>
      <c r="NL12" s="157"/>
      <c r="NM12" s="157"/>
      <c r="NN12" s="157"/>
      <c r="NO12" s="157"/>
      <c r="NP12" s="157"/>
      <c r="NQ12" s="157"/>
      <c r="NR12" s="157"/>
      <c r="NS12" s="157"/>
      <c r="NT12" s="157"/>
      <c r="NU12" s="157"/>
      <c r="NV12" s="157"/>
      <c r="NW12" s="157"/>
      <c r="NX12" s="157"/>
      <c r="NY12" s="157"/>
      <c r="NZ12" s="157"/>
      <c r="OA12" s="157"/>
      <c r="OB12" s="157"/>
      <c r="OC12" s="157"/>
      <c r="OD12" s="157"/>
      <c r="OE12" s="157"/>
      <c r="OF12" s="157"/>
      <c r="OG12" s="157"/>
      <c r="OH12" s="157"/>
      <c r="OI12" s="157"/>
      <c r="OJ12" s="157"/>
      <c r="OK12" s="157"/>
      <c r="OL12" s="157"/>
      <c r="OM12" s="157"/>
      <c r="ON12" s="157"/>
      <c r="OO12" s="157"/>
      <c r="OP12" s="157"/>
      <c r="OQ12" s="157"/>
      <c r="OR12" s="157"/>
      <c r="OS12" s="157"/>
      <c r="OT12" s="157"/>
      <c r="OU12" s="157"/>
      <c r="OV12" s="157"/>
      <c r="OW12" s="157"/>
      <c r="OX12" s="157"/>
      <c r="OY12" s="157"/>
      <c r="OZ12" s="157"/>
      <c r="PA12" s="157"/>
    </row>
    <row r="13" spans="1:417">
      <c r="D13" s="146"/>
      <c r="I13" s="146"/>
      <c r="N13" s="146"/>
      <c r="S13" s="146"/>
      <c r="X13" s="146"/>
      <c r="AC13" s="146"/>
      <c r="AH13" s="146"/>
      <c r="AM13" s="146"/>
      <c r="AR13" s="146"/>
      <c r="AW13" s="146"/>
      <c r="BB13" s="146"/>
      <c r="BG13" s="146"/>
      <c r="BL13" s="146"/>
      <c r="BQ13" s="146"/>
      <c r="BV13" s="146"/>
      <c r="CA13" s="146"/>
      <c r="CF13" s="146"/>
      <c r="CK13" s="146"/>
      <c r="CP13" s="146"/>
      <c r="CU13" s="146"/>
      <c r="CZ13" s="146"/>
      <c r="DE13" s="146"/>
      <c r="DJ13" s="146"/>
      <c r="DO13" s="146"/>
      <c r="DT13" s="146"/>
      <c r="DY13" s="146"/>
      <c r="ED13" s="146"/>
      <c r="EI13" s="146"/>
      <c r="EN13" s="146"/>
      <c r="ES13" s="146"/>
      <c r="EX13" s="146"/>
      <c r="FC13" s="146"/>
      <c r="FH13" s="146"/>
      <c r="FM13" s="146"/>
      <c r="FR13" s="146"/>
      <c r="FW13" s="146"/>
      <c r="GB13" s="345"/>
      <c r="GG13" s="345"/>
      <c r="GL13" s="345"/>
      <c r="GQ13" s="345"/>
      <c r="GW13" s="345"/>
      <c r="HB13" s="345"/>
      <c r="HG13" s="345"/>
      <c r="HL13" s="345"/>
      <c r="HQ13" s="345"/>
      <c r="HV13" s="345"/>
      <c r="IA13" s="345"/>
      <c r="IF13" s="182"/>
      <c r="IK13" s="182"/>
      <c r="IO13" s="157"/>
      <c r="IP13" s="182"/>
      <c r="IQ13" s="157"/>
      <c r="IR13" s="157"/>
      <c r="IT13" s="157"/>
      <c r="IU13" s="157"/>
      <c r="IV13" s="157"/>
      <c r="IW13" s="157"/>
      <c r="IY13" s="157"/>
      <c r="IZ13" s="182"/>
      <c r="JA13" s="157"/>
      <c r="JB13" s="157"/>
      <c r="JC13" s="157"/>
      <c r="JD13" s="157"/>
      <c r="JE13" s="157"/>
      <c r="JF13" s="157"/>
      <c r="JG13" s="157"/>
      <c r="JH13" s="157"/>
      <c r="JI13" s="157"/>
      <c r="JJ13" s="157"/>
      <c r="JK13" s="157"/>
      <c r="JL13" s="157"/>
      <c r="JM13" s="157"/>
      <c r="JN13" s="157"/>
      <c r="JO13" s="157"/>
      <c r="JP13" s="157"/>
      <c r="JQ13" s="157"/>
      <c r="JR13" s="157"/>
      <c r="JS13" s="157"/>
      <c r="JT13" s="157"/>
      <c r="JU13" s="157"/>
      <c r="JV13" s="157"/>
      <c r="JW13" s="157"/>
      <c r="JX13" s="157"/>
      <c r="JY13" s="157"/>
      <c r="JZ13" s="157"/>
      <c r="KA13" s="157"/>
      <c r="KB13" s="157"/>
      <c r="KC13" s="157"/>
      <c r="KD13" s="157"/>
      <c r="KE13" s="157"/>
      <c r="KF13" s="157"/>
      <c r="KG13" s="157"/>
      <c r="KH13" s="157"/>
      <c r="KI13" s="157"/>
      <c r="KJ13" s="157"/>
      <c r="KK13" s="157"/>
      <c r="KL13" s="157"/>
      <c r="KM13" s="157"/>
      <c r="KN13" s="157"/>
      <c r="KO13" s="157"/>
      <c r="KP13" s="157"/>
      <c r="KQ13" s="157"/>
      <c r="KR13" s="157"/>
      <c r="KS13" s="157"/>
      <c r="KT13" s="157"/>
      <c r="KU13" s="157"/>
      <c r="KV13" s="157"/>
      <c r="KW13" s="157"/>
      <c r="KX13" s="157"/>
      <c r="KY13" s="157"/>
      <c r="KZ13" s="157"/>
      <c r="LA13" s="157"/>
      <c r="LB13" s="157"/>
      <c r="LC13" s="157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  <c r="MJ13" s="157"/>
      <c r="MK13" s="157"/>
      <c r="ML13" s="157"/>
      <c r="MM13" s="157"/>
      <c r="MN13" s="157"/>
      <c r="MO13" s="157"/>
      <c r="MP13" s="157"/>
      <c r="MQ13" s="157"/>
      <c r="MR13" s="157"/>
      <c r="MS13" s="157"/>
      <c r="MT13" s="157"/>
      <c r="MU13" s="163" t="s">
        <v>87</v>
      </c>
      <c r="MV13" s="156">
        <v>610021</v>
      </c>
      <c r="MW13" s="156">
        <v>84165</v>
      </c>
      <c r="MX13" s="156">
        <v>41120</v>
      </c>
      <c r="MY13" s="156">
        <v>267663</v>
      </c>
      <c r="MZ13" s="157"/>
      <c r="NA13" s="156">
        <v>456151</v>
      </c>
      <c r="NB13" s="156">
        <v>86553</v>
      </c>
      <c r="NC13" s="156">
        <v>56211</v>
      </c>
      <c r="ND13" s="156">
        <v>230454</v>
      </c>
      <c r="NE13" s="157"/>
      <c r="NF13" s="156">
        <v>300764</v>
      </c>
      <c r="NG13" s="156">
        <v>55352</v>
      </c>
      <c r="NH13" s="156">
        <v>36866</v>
      </c>
      <c r="NI13" s="156">
        <v>222294</v>
      </c>
      <c r="NJ13" s="157"/>
      <c r="NK13" s="157"/>
      <c r="NL13" s="157"/>
      <c r="NM13" s="157"/>
      <c r="NN13" s="157"/>
      <c r="NO13" s="157"/>
      <c r="NP13" s="157"/>
      <c r="NQ13" s="157"/>
      <c r="NR13" s="157"/>
      <c r="NS13" s="157"/>
      <c r="NT13" s="157"/>
      <c r="NU13" s="157"/>
      <c r="NV13" s="157"/>
      <c r="NW13" s="157"/>
      <c r="NX13" s="157"/>
      <c r="NY13" s="157"/>
      <c r="NZ13" s="157"/>
      <c r="OA13" s="157"/>
      <c r="OB13" s="157"/>
      <c r="OC13" s="157"/>
      <c r="OD13" s="157"/>
      <c r="OE13" s="157"/>
      <c r="OF13" s="157"/>
      <c r="OG13" s="157"/>
      <c r="OH13" s="157"/>
      <c r="OI13" s="157"/>
      <c r="OJ13" s="157"/>
      <c r="OK13" s="157"/>
      <c r="OL13" s="157"/>
      <c r="OM13" s="157"/>
      <c r="ON13" s="157"/>
      <c r="OO13" s="157"/>
      <c r="OP13" s="157"/>
      <c r="OQ13" s="157"/>
      <c r="OR13" s="157"/>
      <c r="OS13" s="157"/>
      <c r="OT13" s="157"/>
      <c r="OU13" s="157"/>
      <c r="OV13" s="157"/>
      <c r="OW13" s="157"/>
      <c r="OX13" s="157"/>
      <c r="OY13" s="157"/>
      <c r="OZ13" s="157"/>
      <c r="PA13" s="157"/>
    </row>
    <row r="14" spans="1:417" ht="51">
      <c r="A14" s="62" t="s">
        <v>372</v>
      </c>
      <c r="C14" s="608" t="s">
        <v>846</v>
      </c>
      <c r="D14" s="608" t="s">
        <v>847</v>
      </c>
      <c r="E14" s="608" t="s">
        <v>848</v>
      </c>
      <c r="F14" s="608" t="s">
        <v>836</v>
      </c>
      <c r="H14" s="608" t="s">
        <v>966</v>
      </c>
      <c r="I14" s="608" t="s">
        <v>967</v>
      </c>
      <c r="J14" s="608" t="s">
        <v>968</v>
      </c>
      <c r="K14" s="608" t="s">
        <v>836</v>
      </c>
      <c r="M14" s="608" t="s">
        <v>837</v>
      </c>
      <c r="N14" s="608" t="s">
        <v>838</v>
      </c>
      <c r="O14" s="608" t="s">
        <v>839</v>
      </c>
      <c r="P14" s="608" t="s">
        <v>836</v>
      </c>
      <c r="R14" s="608" t="s">
        <v>818</v>
      </c>
      <c r="S14" s="608" t="s">
        <v>819</v>
      </c>
      <c r="T14" s="608" t="s">
        <v>820</v>
      </c>
      <c r="U14" s="608" t="s">
        <v>836</v>
      </c>
      <c r="W14" s="608" t="s">
        <v>814</v>
      </c>
      <c r="X14" s="608" t="s">
        <v>815</v>
      </c>
      <c r="Y14" s="608" t="s">
        <v>816</v>
      </c>
      <c r="Z14" s="608" t="s">
        <v>836</v>
      </c>
      <c r="AB14" s="608" t="s">
        <v>801</v>
      </c>
      <c r="AC14" s="608" t="s">
        <v>802</v>
      </c>
      <c r="AD14" s="608" t="s">
        <v>803</v>
      </c>
      <c r="AE14" s="608" t="s">
        <v>836</v>
      </c>
      <c r="AG14" s="608" t="s">
        <v>807</v>
      </c>
      <c r="AH14" s="608" t="s">
        <v>808</v>
      </c>
      <c r="AI14" s="608" t="s">
        <v>809</v>
      </c>
      <c r="AJ14" s="608" t="s">
        <v>836</v>
      </c>
      <c r="AL14" s="608" t="s">
        <v>783</v>
      </c>
      <c r="AM14" s="608" t="s">
        <v>784</v>
      </c>
      <c r="AN14" s="608" t="s">
        <v>785</v>
      </c>
      <c r="AO14" s="608" t="s">
        <v>836</v>
      </c>
      <c r="AQ14" s="608" t="s">
        <v>833</v>
      </c>
      <c r="AR14" s="608" t="s">
        <v>834</v>
      </c>
      <c r="AS14" s="608" t="s">
        <v>835</v>
      </c>
      <c r="AT14" s="608" t="s">
        <v>788</v>
      </c>
      <c r="AV14" s="608" t="s">
        <v>764</v>
      </c>
      <c r="AW14" s="608" t="s">
        <v>765</v>
      </c>
      <c r="AX14" s="608" t="s">
        <v>766</v>
      </c>
      <c r="AY14" s="608" t="s">
        <v>788</v>
      </c>
      <c r="BA14" s="608" t="s">
        <v>738</v>
      </c>
      <c r="BB14" s="608" t="s">
        <v>739</v>
      </c>
      <c r="BC14" s="608" t="s">
        <v>740</v>
      </c>
      <c r="BD14" s="608" t="s">
        <v>788</v>
      </c>
      <c r="BF14" s="608" t="s">
        <v>734</v>
      </c>
      <c r="BG14" s="608" t="s">
        <v>735</v>
      </c>
      <c r="BH14" s="608" t="s">
        <v>736</v>
      </c>
      <c r="BI14" s="608" t="s">
        <v>788</v>
      </c>
      <c r="BK14" s="608" t="s">
        <v>716</v>
      </c>
      <c r="BL14" s="608" t="s">
        <v>717</v>
      </c>
      <c r="BM14" s="608" t="s">
        <v>804</v>
      </c>
      <c r="BN14" s="608" t="s">
        <v>788</v>
      </c>
      <c r="BP14" s="608" t="s">
        <v>721</v>
      </c>
      <c r="BQ14" s="608" t="s">
        <v>722</v>
      </c>
      <c r="BR14" s="608" t="s">
        <v>806</v>
      </c>
      <c r="BS14" s="608" t="s">
        <v>788</v>
      </c>
      <c r="BU14" s="608" t="s">
        <v>703</v>
      </c>
      <c r="BV14" s="608" t="s">
        <v>704</v>
      </c>
      <c r="BW14" s="608" t="s">
        <v>786</v>
      </c>
      <c r="BX14" s="608" t="s">
        <v>788</v>
      </c>
      <c r="BZ14" s="608" t="s">
        <v>671</v>
      </c>
      <c r="CA14" s="608" t="s">
        <v>672</v>
      </c>
      <c r="CB14" s="608" t="s">
        <v>673</v>
      </c>
      <c r="CC14" s="608" t="s">
        <v>678</v>
      </c>
      <c r="CE14" s="608" t="s">
        <v>770</v>
      </c>
      <c r="CF14" s="608" t="s">
        <v>771</v>
      </c>
      <c r="CG14" s="608" t="s">
        <v>772</v>
      </c>
      <c r="CH14" s="608" t="str">
        <f>CC14</f>
        <v>Aktywa ogółem na dzień 
31 grudnia 2021 / Total assets as of 31.12.2021</v>
      </c>
      <c r="CJ14" s="60" t="s">
        <v>655</v>
      </c>
      <c r="CK14" s="60" t="s">
        <v>656</v>
      </c>
      <c r="CL14" s="60" t="s">
        <v>657</v>
      </c>
      <c r="CM14" s="60" t="s">
        <v>658</v>
      </c>
      <c r="CO14" s="60" t="s">
        <v>659</v>
      </c>
      <c r="CP14" s="60" t="s">
        <v>660</v>
      </c>
      <c r="CQ14" s="60" t="s">
        <v>661</v>
      </c>
      <c r="CR14" s="60" t="str">
        <f>CM14</f>
        <v>Aktywa ogółem na dzień 
30 września 2021 / Total assets as of 30.09.2021</v>
      </c>
      <c r="CT14" s="60" t="s">
        <v>724</v>
      </c>
      <c r="CU14" s="60" t="s">
        <v>647</v>
      </c>
      <c r="CV14" s="60" t="s">
        <v>725</v>
      </c>
      <c r="CW14" s="60" t="s">
        <v>649</v>
      </c>
      <c r="CY14" s="60" t="s">
        <v>643</v>
      </c>
      <c r="CZ14" s="60" t="s">
        <v>644</v>
      </c>
      <c r="DA14" s="60" t="s">
        <v>720</v>
      </c>
      <c r="DB14" s="60" t="s">
        <v>649</v>
      </c>
      <c r="DD14" s="60" t="s">
        <v>635</v>
      </c>
      <c r="DE14" s="60" t="s">
        <v>704</v>
      </c>
      <c r="DF14" s="60" t="s">
        <v>705</v>
      </c>
      <c r="DG14" s="60" t="s">
        <v>638</v>
      </c>
      <c r="DI14" s="60" t="s">
        <v>614</v>
      </c>
      <c r="DJ14" s="60" t="s">
        <v>615</v>
      </c>
      <c r="DK14" s="60" t="s">
        <v>616</v>
      </c>
      <c r="DL14" s="60" t="s">
        <v>623</v>
      </c>
      <c r="DN14" s="60" t="s">
        <v>675</v>
      </c>
      <c r="DO14" s="60" t="s">
        <v>676</v>
      </c>
      <c r="DP14" s="60" t="s">
        <v>677</v>
      </c>
      <c r="DQ14" s="60" t="s">
        <v>623</v>
      </c>
      <c r="DS14" s="60" t="s">
        <v>599</v>
      </c>
      <c r="DT14" s="60" t="s">
        <v>600</v>
      </c>
      <c r="DU14" s="60" t="s">
        <v>601</v>
      </c>
      <c r="DV14" s="60" t="s">
        <v>602</v>
      </c>
      <c r="DX14" s="60" t="s">
        <v>603</v>
      </c>
      <c r="DY14" s="60" t="s">
        <v>604</v>
      </c>
      <c r="DZ14" s="60" t="s">
        <v>605</v>
      </c>
      <c r="EA14" s="60" t="s">
        <v>602</v>
      </c>
      <c r="EC14" s="60" t="s">
        <v>650</v>
      </c>
      <c r="ED14" s="60" t="s">
        <v>593</v>
      </c>
      <c r="EE14" s="60" t="s">
        <v>594</v>
      </c>
      <c r="EF14" s="60" t="s">
        <v>651</v>
      </c>
      <c r="EH14" s="60" t="s">
        <v>587</v>
      </c>
      <c r="EI14" s="60" t="s">
        <v>589</v>
      </c>
      <c r="EJ14" s="60" t="s">
        <v>590</v>
      </c>
      <c r="EK14" s="60" t="s">
        <v>651</v>
      </c>
      <c r="EM14" s="60" t="s">
        <v>577</v>
      </c>
      <c r="EN14" s="60" t="s">
        <v>578</v>
      </c>
      <c r="EO14" s="60" t="s">
        <v>579</v>
      </c>
      <c r="EP14" s="60" t="s">
        <v>580</v>
      </c>
      <c r="ER14" s="60" t="s">
        <v>571</v>
      </c>
      <c r="ES14" s="60" t="s">
        <v>572</v>
      </c>
      <c r="ET14" s="60" t="s">
        <v>573</v>
      </c>
      <c r="EU14" s="60" t="s">
        <v>570</v>
      </c>
      <c r="EW14" s="60" t="s">
        <v>620</v>
      </c>
      <c r="EX14" s="60" t="s">
        <v>621</v>
      </c>
      <c r="EY14" s="60" t="s">
        <v>622</v>
      </c>
      <c r="EZ14" s="60" t="s">
        <v>570</v>
      </c>
      <c r="FB14" s="60" t="s">
        <v>556</v>
      </c>
      <c r="FC14" s="60" t="s">
        <v>557</v>
      </c>
      <c r="FD14" s="60" t="s">
        <v>558</v>
      </c>
      <c r="FE14" s="60" t="s">
        <v>555</v>
      </c>
      <c r="FG14" s="60" t="s">
        <v>552</v>
      </c>
      <c r="FH14" s="60" t="s">
        <v>553</v>
      </c>
      <c r="FI14" s="60" t="s">
        <v>554</v>
      </c>
      <c r="FJ14" s="60" t="s">
        <v>555</v>
      </c>
      <c r="FL14" s="60" t="s">
        <v>540</v>
      </c>
      <c r="FM14" s="60" t="s">
        <v>541</v>
      </c>
      <c r="FN14" s="60" t="s">
        <v>542</v>
      </c>
      <c r="FO14" s="60" t="s">
        <v>596</v>
      </c>
      <c r="FQ14" s="60" t="s">
        <v>544</v>
      </c>
      <c r="FR14" s="60" t="s">
        <v>545</v>
      </c>
      <c r="FS14" s="60" t="s">
        <v>546</v>
      </c>
      <c r="FT14" s="60" t="s">
        <v>596</v>
      </c>
      <c r="FV14" s="60" t="s">
        <v>529</v>
      </c>
      <c r="FW14" s="60" t="s">
        <v>530</v>
      </c>
      <c r="FX14" s="60" t="s">
        <v>531</v>
      </c>
      <c r="FY14" s="60" t="s">
        <v>532</v>
      </c>
      <c r="GA14" s="340" t="s">
        <v>516</v>
      </c>
      <c r="GB14" s="340" t="s">
        <v>517</v>
      </c>
      <c r="GC14" s="340" t="s">
        <v>518</v>
      </c>
      <c r="GD14" s="340" t="s">
        <v>519</v>
      </c>
      <c r="GF14" s="340" t="s">
        <v>522</v>
      </c>
      <c r="GG14" s="340" t="s">
        <v>523</v>
      </c>
      <c r="GH14" s="340" t="s">
        <v>524</v>
      </c>
      <c r="GI14" s="340" t="s">
        <v>519</v>
      </c>
      <c r="GK14" s="340" t="s">
        <v>501</v>
      </c>
      <c r="GL14" s="340" t="s">
        <v>502</v>
      </c>
      <c r="GM14" s="340" t="s">
        <v>503</v>
      </c>
      <c r="GN14" s="340" t="s">
        <v>504</v>
      </c>
      <c r="GP14" s="340" t="s">
        <v>505</v>
      </c>
      <c r="GQ14" s="340" t="s">
        <v>506</v>
      </c>
      <c r="GR14" s="340" t="s">
        <v>507</v>
      </c>
      <c r="GS14" s="340" t="s">
        <v>504</v>
      </c>
      <c r="GV14" s="340" t="s">
        <v>492</v>
      </c>
      <c r="GW14" s="340" t="s">
        <v>493</v>
      </c>
      <c r="GX14" s="340" t="s">
        <v>494</v>
      </c>
      <c r="GY14" s="340" t="s">
        <v>460</v>
      </c>
      <c r="HA14" s="340" t="s">
        <v>543</v>
      </c>
      <c r="HB14" s="340" t="s">
        <v>458</v>
      </c>
      <c r="HC14" s="340" t="s">
        <v>459</v>
      </c>
      <c r="HD14" s="340" t="s">
        <v>460</v>
      </c>
      <c r="HF14" s="340" t="s">
        <v>109</v>
      </c>
      <c r="HG14" s="340" t="s">
        <v>110</v>
      </c>
      <c r="HH14" s="340" t="s">
        <v>112</v>
      </c>
      <c r="HI14" s="340" t="s">
        <v>114</v>
      </c>
      <c r="HK14" s="340" t="s">
        <v>201</v>
      </c>
      <c r="HL14" s="340" t="s">
        <v>520</v>
      </c>
      <c r="HM14" s="340" t="s">
        <v>521</v>
      </c>
      <c r="HN14" s="340" t="s">
        <v>121</v>
      </c>
      <c r="HP14" s="340" t="s">
        <v>116</v>
      </c>
      <c r="HQ14" s="340" t="s">
        <v>525</v>
      </c>
      <c r="HR14" s="340" t="s">
        <v>119</v>
      </c>
      <c r="HS14" s="340" t="s">
        <v>121</v>
      </c>
      <c r="HU14" s="340" t="s">
        <v>363</v>
      </c>
      <c r="HV14" s="340" t="s">
        <v>508</v>
      </c>
      <c r="HW14" s="340" t="s">
        <v>509</v>
      </c>
      <c r="HX14" s="340" t="s">
        <v>121</v>
      </c>
      <c r="HZ14" s="340" t="s">
        <v>129</v>
      </c>
      <c r="IA14" s="340" t="s">
        <v>510</v>
      </c>
      <c r="IB14" s="340" t="s">
        <v>132</v>
      </c>
      <c r="IC14" s="340" t="s">
        <v>121</v>
      </c>
      <c r="IE14" s="177" t="s">
        <v>144</v>
      </c>
      <c r="IF14" s="177" t="s">
        <v>496</v>
      </c>
      <c r="IG14" s="177" t="s">
        <v>148</v>
      </c>
      <c r="IH14" s="177" t="s">
        <v>121</v>
      </c>
      <c r="IJ14" s="177" t="s">
        <v>136</v>
      </c>
      <c r="IK14" s="177" t="s">
        <v>495</v>
      </c>
      <c r="IL14" s="177" t="s">
        <v>140</v>
      </c>
      <c r="IM14" s="177" t="s">
        <v>121</v>
      </c>
      <c r="IO14" s="177" t="s">
        <v>150</v>
      </c>
      <c r="IP14" s="177" t="s">
        <v>111</v>
      </c>
      <c r="IQ14" s="177" t="s">
        <v>113</v>
      </c>
      <c r="IR14" s="177" t="s">
        <v>121</v>
      </c>
      <c r="IT14" s="177" t="s">
        <v>122</v>
      </c>
      <c r="IU14" s="177" t="s">
        <v>125</v>
      </c>
      <c r="IV14" s="177" t="s">
        <v>126</v>
      </c>
      <c r="IW14" s="177" t="s">
        <v>127</v>
      </c>
      <c r="IY14" s="177" t="s">
        <v>200</v>
      </c>
      <c r="IZ14" s="177" t="s">
        <v>118</v>
      </c>
      <c r="JA14" s="177" t="s">
        <v>120</v>
      </c>
      <c r="JB14" s="177" t="s">
        <v>143</v>
      </c>
      <c r="JC14" s="157"/>
      <c r="JD14" s="177" t="s">
        <v>364</v>
      </c>
      <c r="JE14" s="177" t="s">
        <v>365</v>
      </c>
      <c r="JF14" s="177" t="s">
        <v>368</v>
      </c>
      <c r="JG14" s="177" t="s">
        <v>135</v>
      </c>
      <c r="JH14" s="177"/>
      <c r="JI14" s="177" t="s">
        <v>199</v>
      </c>
      <c r="JJ14" s="177" t="s">
        <v>131</v>
      </c>
      <c r="JK14" s="177" t="s">
        <v>133</v>
      </c>
      <c r="JL14" s="177" t="s">
        <v>135</v>
      </c>
      <c r="JM14" s="157"/>
      <c r="JN14" s="177" t="s">
        <v>145</v>
      </c>
      <c r="JO14" s="177" t="s">
        <v>147</v>
      </c>
      <c r="JP14" s="177" t="s">
        <v>149</v>
      </c>
      <c r="JQ14" s="177" t="s">
        <v>127</v>
      </c>
      <c r="JR14" s="157"/>
      <c r="JS14" s="177" t="s">
        <v>137</v>
      </c>
      <c r="JT14" s="177" t="s">
        <v>139</v>
      </c>
      <c r="JU14" s="177" t="s">
        <v>141</v>
      </c>
      <c r="JV14" s="177" t="s">
        <v>143</v>
      </c>
      <c r="JW14" s="157"/>
      <c r="JX14" s="177" t="s">
        <v>151</v>
      </c>
      <c r="JY14" s="177" t="s">
        <v>153</v>
      </c>
      <c r="JZ14" s="177" t="s">
        <v>154</v>
      </c>
      <c r="KA14" s="177" t="s">
        <v>143</v>
      </c>
      <c r="KB14" s="157"/>
      <c r="KC14" s="177" t="s">
        <v>156</v>
      </c>
      <c r="KD14" s="177" t="s">
        <v>157</v>
      </c>
      <c r="KE14" s="177" t="s">
        <v>158</v>
      </c>
      <c r="KF14" s="177" t="s">
        <v>159</v>
      </c>
      <c r="KG14" s="157"/>
      <c r="KH14" s="177" t="s">
        <v>350</v>
      </c>
      <c r="KI14" s="177" t="s">
        <v>330</v>
      </c>
      <c r="KJ14" s="177" t="s">
        <v>331</v>
      </c>
      <c r="KK14" s="177" t="s">
        <v>159</v>
      </c>
      <c r="KL14" s="157"/>
      <c r="KM14" s="177" t="s">
        <v>338</v>
      </c>
      <c r="KN14" s="177" t="s">
        <v>337</v>
      </c>
      <c r="KO14" s="177" t="s">
        <v>336</v>
      </c>
      <c r="KP14" s="177" t="s">
        <v>160</v>
      </c>
      <c r="KQ14" s="157"/>
      <c r="KR14" s="177" t="s">
        <v>341</v>
      </c>
      <c r="KS14" s="177" t="s">
        <v>342</v>
      </c>
      <c r="KT14" s="177" t="s">
        <v>473</v>
      </c>
      <c r="KU14" s="177" t="s">
        <v>160</v>
      </c>
      <c r="KV14" s="157"/>
      <c r="KW14" s="177" t="s">
        <v>343</v>
      </c>
      <c r="KX14" s="177" t="s">
        <v>471</v>
      </c>
      <c r="KY14" s="177" t="s">
        <v>469</v>
      </c>
      <c r="KZ14" s="177" t="s">
        <v>162</v>
      </c>
      <c r="LA14" s="157"/>
      <c r="LB14" s="177" t="s">
        <v>347</v>
      </c>
      <c r="LC14" s="177" t="s">
        <v>346</v>
      </c>
      <c r="LD14" s="177" t="s">
        <v>464</v>
      </c>
      <c r="LE14" s="177" t="s">
        <v>162</v>
      </c>
      <c r="LF14" s="157"/>
      <c r="LG14" s="177" t="s">
        <v>349</v>
      </c>
      <c r="LH14" s="177" t="s">
        <v>357</v>
      </c>
      <c r="LI14" s="177" t="s">
        <v>462</v>
      </c>
      <c r="LJ14" s="177" t="s">
        <v>163</v>
      </c>
      <c r="LK14" s="157"/>
      <c r="LL14" s="177" t="s">
        <v>169</v>
      </c>
      <c r="LM14" s="160" t="s">
        <v>170</v>
      </c>
      <c r="LN14" s="160" t="s">
        <v>171</v>
      </c>
      <c r="LO14" s="177" t="s">
        <v>172</v>
      </c>
      <c r="LP14" s="157"/>
      <c r="LQ14" s="177" t="s">
        <v>484</v>
      </c>
      <c r="LR14" s="160" t="s">
        <v>482</v>
      </c>
      <c r="LS14" s="160" t="s">
        <v>480</v>
      </c>
      <c r="LT14" s="177" t="s">
        <v>172</v>
      </c>
      <c r="LU14" s="178"/>
      <c r="LV14" s="177" t="s">
        <v>352</v>
      </c>
      <c r="LW14" s="177" t="s">
        <v>353</v>
      </c>
      <c r="LX14" s="160" t="s">
        <v>354</v>
      </c>
      <c r="LY14" s="177" t="s">
        <v>173</v>
      </c>
      <c r="LZ14" s="157"/>
      <c r="MA14" s="177" t="s">
        <v>478</v>
      </c>
      <c r="MB14" s="177" t="s">
        <v>476</v>
      </c>
      <c r="MC14" s="160" t="s">
        <v>474</v>
      </c>
      <c r="MD14" s="177" t="s">
        <v>173</v>
      </c>
      <c r="ME14" s="157"/>
      <c r="MF14" s="177" t="s">
        <v>356</v>
      </c>
      <c r="MG14" s="177" t="s">
        <v>472</v>
      </c>
      <c r="MH14" s="160" t="s">
        <v>470</v>
      </c>
      <c r="MI14" s="177" t="s">
        <v>175</v>
      </c>
      <c r="MJ14" s="157"/>
      <c r="MK14" s="177" t="s">
        <v>468</v>
      </c>
      <c r="ML14" s="177" t="s">
        <v>466</v>
      </c>
      <c r="MM14" s="177" t="s">
        <v>465</v>
      </c>
      <c r="MN14" s="177" t="s">
        <v>175</v>
      </c>
      <c r="MO14" s="157"/>
      <c r="MP14" s="177" t="s">
        <v>358</v>
      </c>
      <c r="MQ14" s="160" t="s">
        <v>359</v>
      </c>
      <c r="MR14" s="160" t="s">
        <v>360</v>
      </c>
      <c r="MS14" s="177" t="s">
        <v>177</v>
      </c>
      <c r="MT14" s="157"/>
      <c r="MU14" s="173" t="s">
        <v>88</v>
      </c>
      <c r="MV14" s="170">
        <v>261063</v>
      </c>
      <c r="MW14" s="170">
        <v>22158</v>
      </c>
      <c r="MX14" s="170">
        <v>15473</v>
      </c>
      <c r="MY14" s="170">
        <v>191933</v>
      </c>
      <c r="MZ14" s="157"/>
      <c r="NA14" s="170">
        <v>203834</v>
      </c>
      <c r="NB14" s="170">
        <v>22996</v>
      </c>
      <c r="NC14" s="170">
        <v>17890</v>
      </c>
      <c r="ND14" s="170">
        <v>160564</v>
      </c>
      <c r="NE14" s="157"/>
      <c r="NF14" s="170">
        <v>125080</v>
      </c>
      <c r="NG14" s="170">
        <v>11886</v>
      </c>
      <c r="NH14" s="170">
        <v>8501</v>
      </c>
      <c r="NI14" s="170">
        <v>182892</v>
      </c>
      <c r="NJ14" s="157"/>
      <c r="NK14" s="157"/>
      <c r="NL14" s="157"/>
      <c r="NM14" s="157"/>
      <c r="NN14" s="157"/>
      <c r="NO14" s="157"/>
      <c r="NP14" s="157"/>
      <c r="NQ14" s="157"/>
      <c r="NR14" s="157"/>
      <c r="NS14" s="157"/>
      <c r="NT14" s="157"/>
      <c r="NU14" s="157"/>
      <c r="NV14" s="157"/>
      <c r="NW14" s="157"/>
      <c r="NX14" s="157"/>
      <c r="NY14" s="157"/>
      <c r="NZ14" s="157"/>
      <c r="OA14" s="157"/>
      <c r="OB14" s="157"/>
      <c r="OC14" s="157"/>
      <c r="OD14" s="157"/>
      <c r="OE14" s="157"/>
      <c r="OF14" s="157"/>
      <c r="OG14" s="157"/>
      <c r="OH14" s="157"/>
      <c r="OI14" s="157"/>
      <c r="OJ14" s="157"/>
      <c r="OK14" s="157"/>
      <c r="OL14" s="157"/>
      <c r="OM14" s="157"/>
      <c r="ON14" s="157"/>
      <c r="OO14" s="157"/>
      <c r="OP14" s="157"/>
      <c r="OQ14" s="157"/>
      <c r="OR14" s="157"/>
      <c r="OS14" s="157"/>
      <c r="OT14" s="157"/>
      <c r="OU14" s="157"/>
      <c r="OV14" s="157"/>
      <c r="OW14" s="157"/>
      <c r="OX14" s="157"/>
      <c r="OY14" s="157"/>
      <c r="OZ14" s="157"/>
      <c r="PA14" s="157"/>
    </row>
    <row r="15" spans="1:417">
      <c r="A15" s="306" t="s">
        <v>77</v>
      </c>
      <c r="C15" s="609"/>
      <c r="D15" s="609"/>
      <c r="E15" s="609"/>
      <c r="F15" s="609"/>
      <c r="H15" s="609"/>
      <c r="I15" s="609"/>
      <c r="J15" s="609"/>
      <c r="K15" s="609"/>
      <c r="M15" s="609"/>
      <c r="N15" s="609"/>
      <c r="O15" s="609"/>
      <c r="P15" s="609"/>
      <c r="R15" s="609"/>
      <c r="S15" s="609"/>
      <c r="T15" s="609"/>
      <c r="U15" s="609"/>
      <c r="W15" s="609"/>
      <c r="X15" s="609"/>
      <c r="Y15" s="609"/>
      <c r="Z15" s="609"/>
      <c r="AB15" s="609"/>
      <c r="AC15" s="609"/>
      <c r="AD15" s="609"/>
      <c r="AE15" s="609"/>
      <c r="AG15" s="609"/>
      <c r="AH15" s="609"/>
      <c r="AI15" s="609"/>
      <c r="AJ15" s="609"/>
      <c r="AL15" s="609"/>
      <c r="AM15" s="609"/>
      <c r="AN15" s="609"/>
      <c r="AO15" s="609"/>
      <c r="AQ15" s="609"/>
      <c r="AR15" s="609"/>
      <c r="AS15" s="609"/>
      <c r="AT15" s="609"/>
      <c r="AV15" s="609"/>
      <c r="AW15" s="609"/>
      <c r="AX15" s="609"/>
      <c r="AY15" s="609"/>
      <c r="BA15" s="609"/>
      <c r="BB15" s="609"/>
      <c r="BC15" s="609"/>
      <c r="BD15" s="609"/>
      <c r="BF15" s="609"/>
      <c r="BG15" s="609"/>
      <c r="BH15" s="609"/>
      <c r="BI15" s="609"/>
      <c r="BK15" s="609"/>
      <c r="BL15" s="609"/>
      <c r="BM15" s="609"/>
      <c r="BN15" s="609"/>
      <c r="BP15" s="609"/>
      <c r="BQ15" s="609"/>
      <c r="BR15" s="609"/>
      <c r="BS15" s="609"/>
      <c r="BU15" s="609"/>
      <c r="BV15" s="609"/>
      <c r="BW15" s="609"/>
      <c r="BX15" s="609"/>
      <c r="BZ15" s="609"/>
      <c r="CA15" s="609"/>
      <c r="CB15" s="609"/>
      <c r="CC15" s="609"/>
      <c r="CE15" s="609"/>
      <c r="CF15" s="609"/>
      <c r="CG15" s="609"/>
      <c r="CH15" s="609"/>
      <c r="CJ15" s="336">
        <v>410000</v>
      </c>
      <c r="CK15" s="336">
        <v>-128000</v>
      </c>
      <c r="CL15" s="336">
        <v>-139000</v>
      </c>
      <c r="CM15" s="336">
        <f t="shared" ref="CM15:CM21" si="24">CR15</f>
        <v>899000</v>
      </c>
      <c r="CO15" s="336">
        <v>990000</v>
      </c>
      <c r="CP15" s="336">
        <v>-174000</v>
      </c>
      <c r="CQ15" s="336">
        <v>-460000</v>
      </c>
      <c r="CR15" s="336">
        <v>899000</v>
      </c>
      <c r="CT15" s="336">
        <f t="shared" ref="CT15:CT21" si="25">CY15-DD15</f>
        <v>277000</v>
      </c>
      <c r="CU15" s="336">
        <f t="shared" ref="CU15:CU21" si="26">CZ15-DE15</f>
        <v>-32000</v>
      </c>
      <c r="CV15" s="336">
        <f t="shared" ref="CV15:CV21" si="27">DA15-DF15</f>
        <v>-271000</v>
      </c>
      <c r="CW15" s="336">
        <v>899000</v>
      </c>
      <c r="CY15" s="336">
        <v>580000</v>
      </c>
      <c r="CZ15" s="336">
        <v>-46000</v>
      </c>
      <c r="DA15" s="336">
        <v>-321000</v>
      </c>
      <c r="DB15" s="336">
        <v>899000</v>
      </c>
      <c r="DD15" s="336">
        <v>303000</v>
      </c>
      <c r="DE15" s="336">
        <v>-14000</v>
      </c>
      <c r="DF15" s="336">
        <v>-50000</v>
      </c>
      <c r="DG15" s="336">
        <v>899000</v>
      </c>
      <c r="DI15" s="336">
        <f t="shared" ref="DI15:DI21" si="28">DN15-DX15</f>
        <v>263276</v>
      </c>
      <c r="DJ15" s="336">
        <f t="shared" ref="DJ15:DJ21" si="29">DO15-DY15</f>
        <v>-124594</v>
      </c>
      <c r="DK15" s="336">
        <f t="shared" ref="DK15:DK21" si="30">DP15-DZ15</f>
        <v>-539254</v>
      </c>
      <c r="DL15" s="336">
        <f t="shared" ref="DL15:DL21" si="31">DQ15</f>
        <v>1116000</v>
      </c>
      <c r="DN15" s="336">
        <v>1052000</v>
      </c>
      <c r="DO15" s="336">
        <v>-157000</v>
      </c>
      <c r="DP15" s="336">
        <v>-887000</v>
      </c>
      <c r="DQ15" s="336">
        <v>1116000</v>
      </c>
      <c r="DS15" s="336">
        <f t="shared" ref="DS15:DU21" si="32">DX15-EH15</f>
        <v>285753</v>
      </c>
      <c r="DT15" s="336">
        <f t="shared" si="32"/>
        <v>-39185</v>
      </c>
      <c r="DU15" s="336">
        <f t="shared" si="32"/>
        <v>-76441</v>
      </c>
      <c r="DV15" s="336">
        <f t="shared" ref="DV15:DV21" si="33">EA15</f>
        <v>1115883</v>
      </c>
      <c r="DX15" s="336">
        <v>788724</v>
      </c>
      <c r="DY15" s="336">
        <v>-32406</v>
      </c>
      <c r="DZ15" s="336">
        <v>-347746</v>
      </c>
      <c r="EA15" s="336">
        <v>1115883</v>
      </c>
      <c r="EC15" s="336">
        <f t="shared" ref="EC15:EE21" si="34">EH15-EM15</f>
        <v>266547</v>
      </c>
      <c r="ED15" s="336">
        <f t="shared" si="34"/>
        <v>43134</v>
      </c>
      <c r="EE15" s="336">
        <f t="shared" si="34"/>
        <v>-187414</v>
      </c>
      <c r="EF15" s="336">
        <f t="shared" ref="EF15:EF21" si="35">EK15</f>
        <v>1115883</v>
      </c>
      <c r="EH15" s="336">
        <v>502971</v>
      </c>
      <c r="EI15" s="336">
        <v>6779</v>
      </c>
      <c r="EJ15" s="336">
        <v>-271305</v>
      </c>
      <c r="EK15" s="336">
        <v>1115883</v>
      </c>
      <c r="EM15" s="336">
        <v>236424</v>
      </c>
      <c r="EN15" s="336">
        <v>-36355</v>
      </c>
      <c r="EO15" s="336">
        <v>-83891</v>
      </c>
      <c r="EP15" s="336">
        <v>1115883</v>
      </c>
      <c r="ER15" s="336">
        <f t="shared" ref="ER15:ER22" si="36">EW15-FG15</f>
        <v>211025</v>
      </c>
      <c r="ES15" s="336">
        <f t="shared" ref="ES15:ES22" si="37">EX15-FH15</f>
        <v>-238231</v>
      </c>
      <c r="ET15" s="336">
        <f t="shared" ref="ET15:ET22" si="38">EY15-FI15</f>
        <v>-715619</v>
      </c>
      <c r="EU15" s="336">
        <f t="shared" ref="EU15:EU22" si="39">EZ15</f>
        <v>1294329</v>
      </c>
      <c r="EW15" s="336">
        <v>944433</v>
      </c>
      <c r="EX15" s="336">
        <v>-499865</v>
      </c>
      <c r="EY15" s="336">
        <v>-1391949</v>
      </c>
      <c r="EZ15" s="336">
        <v>1294329</v>
      </c>
      <c r="FB15" s="336">
        <v>201718</v>
      </c>
      <c r="FC15" s="336">
        <v>-118709</v>
      </c>
      <c r="FD15" s="336">
        <v>-164999</v>
      </c>
      <c r="FE15" s="336">
        <f t="shared" ref="FE15:FE22" si="40">FJ15</f>
        <v>1294329</v>
      </c>
      <c r="FG15" s="336">
        <v>733408</v>
      </c>
      <c r="FH15" s="336">
        <v>-261634</v>
      </c>
      <c r="FI15" s="336">
        <v>-676330</v>
      </c>
      <c r="FJ15" s="336">
        <v>1294329</v>
      </c>
      <c r="FL15" s="61">
        <f t="shared" ref="FL15:FN22" si="41">FQ15-FV15</f>
        <v>239824</v>
      </c>
      <c r="FM15" s="147">
        <f t="shared" si="41"/>
        <v>-98644</v>
      </c>
      <c r="FN15" s="61">
        <f t="shared" si="41"/>
        <v>-415414</v>
      </c>
      <c r="FO15" s="61">
        <v>1294329</v>
      </c>
      <c r="FQ15" s="61">
        <v>531690</v>
      </c>
      <c r="FR15" s="147">
        <v>-142925</v>
      </c>
      <c r="FS15" s="61">
        <v>-511331</v>
      </c>
      <c r="FT15" s="61">
        <v>1294329</v>
      </c>
      <c r="FV15" s="61">
        <v>291866</v>
      </c>
      <c r="FW15" s="147">
        <v>-44281</v>
      </c>
      <c r="FX15" s="61">
        <v>-95917</v>
      </c>
      <c r="FY15" s="61">
        <v>1294329</v>
      </c>
      <c r="GA15" s="144">
        <v>1266024</v>
      </c>
      <c r="GB15" s="346">
        <v>-90262</v>
      </c>
      <c r="GC15" s="144">
        <v>-1053469</v>
      </c>
      <c r="GD15" s="144">
        <v>1589823</v>
      </c>
      <c r="GF15" s="144">
        <v>314649</v>
      </c>
      <c r="GG15" s="346">
        <v>-81322</v>
      </c>
      <c r="GH15" s="144">
        <v>-136788</v>
      </c>
      <c r="GI15" s="144">
        <v>1589823</v>
      </c>
      <c r="GK15" s="144">
        <v>951375</v>
      </c>
      <c r="GL15" s="346">
        <v>-8940</v>
      </c>
      <c r="GM15" s="144">
        <v>-916681</v>
      </c>
      <c r="GN15" s="144">
        <v>1589823</v>
      </c>
      <c r="GP15" s="144">
        <v>272589</v>
      </c>
      <c r="GQ15" s="346">
        <v>-11217</v>
      </c>
      <c r="GR15" s="144">
        <v>-50515</v>
      </c>
      <c r="GS15" s="144">
        <v>1589823</v>
      </c>
      <c r="GV15" s="144">
        <v>678786</v>
      </c>
      <c r="GW15" s="346">
        <v>2277</v>
      </c>
      <c r="GX15" s="144">
        <v>-866166</v>
      </c>
      <c r="GY15" s="144">
        <v>1589823</v>
      </c>
      <c r="HA15" s="144">
        <v>293543</v>
      </c>
      <c r="HB15" s="346">
        <v>-41474</v>
      </c>
      <c r="HC15" s="144">
        <v>-842790</v>
      </c>
      <c r="HD15" s="144">
        <v>1589823</v>
      </c>
      <c r="HF15" s="144">
        <v>385243</v>
      </c>
      <c r="HG15" s="346">
        <v>43751</v>
      </c>
      <c r="HH15" s="144">
        <v>-23376</v>
      </c>
      <c r="HI15" s="144">
        <v>1589823</v>
      </c>
      <c r="HK15" s="144">
        <v>1541425</v>
      </c>
      <c r="HL15" s="346">
        <v>-83036</v>
      </c>
      <c r="HM15" s="144">
        <v>-211070</v>
      </c>
      <c r="HN15" s="144">
        <v>2085538</v>
      </c>
      <c r="HP15" s="341">
        <v>422958</v>
      </c>
      <c r="HQ15" s="342">
        <v>-41352</v>
      </c>
      <c r="HR15" s="341">
        <v>-75834</v>
      </c>
      <c r="HS15" s="341">
        <v>2085538</v>
      </c>
      <c r="HU15" s="144">
        <v>1118467</v>
      </c>
      <c r="HV15" s="346">
        <v>-41684</v>
      </c>
      <c r="HW15" s="144">
        <v>-135236</v>
      </c>
      <c r="HX15" s="144">
        <v>2085538</v>
      </c>
      <c r="HZ15" s="144">
        <v>336783</v>
      </c>
      <c r="IA15" s="346">
        <v>-36968</v>
      </c>
      <c r="IB15" s="144">
        <v>-69420</v>
      </c>
      <c r="IC15" s="144">
        <v>2085538</v>
      </c>
      <c r="IE15" s="156">
        <v>781684</v>
      </c>
      <c r="IF15" s="183">
        <v>-4716</v>
      </c>
      <c r="IG15" s="156">
        <v>-65816</v>
      </c>
      <c r="IH15" s="156">
        <v>2085538</v>
      </c>
      <c r="IJ15" s="156">
        <v>397591</v>
      </c>
      <c r="IK15" s="183">
        <v>24737</v>
      </c>
      <c r="IL15" s="156">
        <v>-6171</v>
      </c>
      <c r="IM15" s="156">
        <v>2085538</v>
      </c>
      <c r="IO15" s="156">
        <v>384093</v>
      </c>
      <c r="IP15" s="183">
        <v>-29453</v>
      </c>
      <c r="IQ15" s="156">
        <v>-59645</v>
      </c>
      <c r="IR15" s="156">
        <v>2085538</v>
      </c>
      <c r="IT15" s="156">
        <v>1311143</v>
      </c>
      <c r="IU15" s="156">
        <v>-82130</v>
      </c>
      <c r="IV15" s="156">
        <v>-205163</v>
      </c>
      <c r="IW15" s="156">
        <v>2069263</v>
      </c>
      <c r="IY15" s="156">
        <v>423619</v>
      </c>
      <c r="IZ15" s="183">
        <v>54528</v>
      </c>
      <c r="JA15" s="156">
        <v>23540</v>
      </c>
      <c r="JB15" s="156">
        <v>2069263</v>
      </c>
      <c r="JC15" s="157"/>
      <c r="JD15" s="156">
        <v>887524</v>
      </c>
      <c r="JE15" s="156">
        <v>-136658</v>
      </c>
      <c r="JF15" s="156">
        <v>-228703</v>
      </c>
      <c r="JG15" s="156">
        <v>2069263</v>
      </c>
      <c r="JH15" s="156"/>
      <c r="JI15" s="156">
        <v>375392</v>
      </c>
      <c r="JJ15" s="156">
        <v>32590</v>
      </c>
      <c r="JK15" s="156">
        <v>1833</v>
      </c>
      <c r="JL15" s="156">
        <v>2069263</v>
      </c>
      <c r="JM15" s="157"/>
      <c r="JN15" s="156">
        <v>512132</v>
      </c>
      <c r="JO15" s="156">
        <v>-169248</v>
      </c>
      <c r="JP15" s="156">
        <v>-230536</v>
      </c>
      <c r="JQ15" s="156">
        <v>2069263</v>
      </c>
      <c r="JR15" s="157"/>
      <c r="JS15" s="156">
        <f t="shared" ref="JS15:JU21" si="42">JN15-JX15</f>
        <v>257978</v>
      </c>
      <c r="JT15" s="156">
        <f t="shared" si="42"/>
        <v>-104490</v>
      </c>
      <c r="JU15" s="156">
        <f t="shared" si="42"/>
        <v>-127029</v>
      </c>
      <c r="JV15" s="156">
        <f>KA15</f>
        <v>2069263</v>
      </c>
      <c r="JW15" s="157"/>
      <c r="JX15" s="156">
        <v>254154</v>
      </c>
      <c r="JY15" s="156">
        <v>-64758</v>
      </c>
      <c r="JZ15" s="156">
        <v>-103507</v>
      </c>
      <c r="KA15" s="156">
        <v>2069263</v>
      </c>
      <c r="KB15" s="157"/>
      <c r="KC15" s="156">
        <v>1205944</v>
      </c>
      <c r="KD15" s="156">
        <v>9137</v>
      </c>
      <c r="KE15" s="156">
        <v>-104328</v>
      </c>
      <c r="KF15" s="156">
        <v>1657407</v>
      </c>
      <c r="KG15" s="157"/>
      <c r="KH15" s="156">
        <v>331130</v>
      </c>
      <c r="KI15" s="156">
        <v>32369</v>
      </c>
      <c r="KJ15" s="156">
        <v>3251</v>
      </c>
      <c r="KK15" s="156">
        <v>1657407</v>
      </c>
      <c r="KL15" s="157"/>
      <c r="KM15" s="156">
        <v>874814</v>
      </c>
      <c r="KN15" s="156">
        <v>-23232</v>
      </c>
      <c r="KO15" s="156">
        <v>-107579</v>
      </c>
      <c r="KP15" s="156">
        <v>1657407</v>
      </c>
      <c r="KQ15" s="157"/>
      <c r="KR15" s="156">
        <v>332863</v>
      </c>
      <c r="KS15" s="156">
        <v>134670</v>
      </c>
      <c r="KT15" s="156">
        <v>106686</v>
      </c>
      <c r="KU15" s="156">
        <v>1657407</v>
      </c>
      <c r="KV15" s="157"/>
      <c r="KW15" s="156">
        <v>541951</v>
      </c>
      <c r="KX15" s="156">
        <v>-157902</v>
      </c>
      <c r="KY15" s="156">
        <v>-214265</v>
      </c>
      <c r="KZ15" s="156">
        <v>1657407</v>
      </c>
      <c r="LA15" s="157"/>
      <c r="LB15" s="156">
        <v>273192</v>
      </c>
      <c r="LC15" s="156">
        <v>-113811</v>
      </c>
      <c r="LD15" s="156">
        <v>-142220</v>
      </c>
      <c r="LE15" s="156">
        <v>1657407</v>
      </c>
      <c r="LF15" s="157"/>
      <c r="LG15" s="156">
        <v>268759</v>
      </c>
      <c r="LH15" s="156">
        <v>-44091</v>
      </c>
      <c r="LI15" s="156">
        <v>-72045</v>
      </c>
      <c r="LJ15" s="156">
        <v>1657407</v>
      </c>
      <c r="LK15" s="157"/>
      <c r="LL15" s="156">
        <v>1194024</v>
      </c>
      <c r="LM15" s="156">
        <v>98420</v>
      </c>
      <c r="LN15" s="156">
        <v>-6829</v>
      </c>
      <c r="LO15" s="156">
        <v>1742510</v>
      </c>
      <c r="LP15" s="163"/>
      <c r="LQ15" s="156">
        <v>323181</v>
      </c>
      <c r="LR15" s="156">
        <v>14867</v>
      </c>
      <c r="LS15" s="156">
        <v>-12176</v>
      </c>
      <c r="LT15" s="156">
        <v>1742510</v>
      </c>
      <c r="LU15" s="163"/>
      <c r="LV15" s="156">
        <v>870843</v>
      </c>
      <c r="LW15" s="156">
        <v>83553</v>
      </c>
      <c r="LX15" s="156">
        <v>5347</v>
      </c>
      <c r="LY15" s="156">
        <v>1742510</v>
      </c>
      <c r="LZ15" s="157"/>
      <c r="MA15" s="156">
        <v>341431</v>
      </c>
      <c r="MB15" s="156">
        <v>55252</v>
      </c>
      <c r="MC15" s="156">
        <v>29132</v>
      </c>
      <c r="MD15" s="156">
        <v>1742510</v>
      </c>
      <c r="ME15" s="157"/>
      <c r="MF15" s="156">
        <v>529412</v>
      </c>
      <c r="MG15" s="156">
        <v>28174</v>
      </c>
      <c r="MH15" s="156">
        <v>-23785</v>
      </c>
      <c r="MI15" s="156">
        <v>1742510</v>
      </c>
      <c r="MJ15" s="157"/>
      <c r="MK15" s="156">
        <v>281247</v>
      </c>
      <c r="ML15" s="156">
        <v>8471</v>
      </c>
      <c r="MM15" s="156">
        <v>-16826</v>
      </c>
      <c r="MN15" s="156">
        <v>1742510</v>
      </c>
      <c r="MO15" s="157"/>
      <c r="MP15" s="156">
        <v>248165</v>
      </c>
      <c r="MQ15" s="156">
        <v>19703</v>
      </c>
      <c r="MR15" s="156">
        <v>-6959</v>
      </c>
      <c r="MS15" s="156">
        <v>1742510</v>
      </c>
      <c r="MT15" s="157"/>
      <c r="MU15" s="157"/>
      <c r="MV15" s="157"/>
      <c r="MW15" s="157"/>
      <c r="MX15" s="157"/>
      <c r="MY15" s="157"/>
      <c r="MZ15" s="157"/>
      <c r="NA15" s="157"/>
      <c r="NB15" s="157"/>
      <c r="NC15" s="157"/>
      <c r="ND15" s="157"/>
      <c r="NE15" s="157"/>
      <c r="NF15" s="157"/>
      <c r="NG15" s="157"/>
      <c r="NH15" s="157"/>
      <c r="NI15" s="157"/>
      <c r="NJ15" s="157"/>
      <c r="NK15" s="157"/>
      <c r="NL15" s="157"/>
      <c r="NM15" s="157"/>
      <c r="NN15" s="157"/>
      <c r="NO15" s="157"/>
      <c r="NP15" s="157"/>
      <c r="NQ15" s="157"/>
      <c r="NR15" s="157"/>
      <c r="NS15" s="157"/>
      <c r="NT15" s="157"/>
      <c r="NU15" s="157"/>
      <c r="NV15" s="157"/>
      <c r="NW15" s="157"/>
      <c r="NX15" s="157"/>
      <c r="NY15" s="157"/>
      <c r="NZ15" s="157"/>
      <c r="OA15" s="157"/>
      <c r="OB15" s="157"/>
      <c r="OC15" s="157"/>
      <c r="OD15" s="157"/>
      <c r="OE15" s="157"/>
      <c r="OF15" s="157"/>
      <c r="OG15" s="157"/>
      <c r="OH15" s="157"/>
      <c r="OI15" s="157"/>
      <c r="OJ15" s="157"/>
      <c r="OK15" s="157"/>
      <c r="OL15" s="157"/>
      <c r="OM15" s="157"/>
      <c r="ON15" s="157"/>
      <c r="OO15" s="157"/>
      <c r="OP15" s="157"/>
      <c r="OQ15" s="157"/>
      <c r="OR15" s="157"/>
      <c r="OS15" s="157"/>
      <c r="OT15" s="157"/>
      <c r="OU15" s="157"/>
      <c r="OV15" s="157"/>
      <c r="OW15" s="157"/>
      <c r="OX15" s="157"/>
      <c r="OY15" s="157"/>
      <c r="OZ15" s="157"/>
      <c r="PA15" s="157"/>
    </row>
    <row r="16" spans="1:417">
      <c r="A16" s="466" t="s">
        <v>582</v>
      </c>
      <c r="C16" s="610"/>
      <c r="D16" s="610"/>
      <c r="E16" s="610"/>
      <c r="F16" s="610"/>
      <c r="H16" s="610"/>
      <c r="I16" s="610"/>
      <c r="J16" s="610"/>
      <c r="K16" s="610"/>
      <c r="M16" s="610"/>
      <c r="N16" s="610"/>
      <c r="O16" s="610"/>
      <c r="P16" s="610"/>
      <c r="R16" s="610">
        <f>([5]segmenty!$B$47)*1000</f>
        <v>8189000</v>
      </c>
      <c r="S16" s="610">
        <f>([5]segmenty!$B$72)*1000</f>
        <v>876000</v>
      </c>
      <c r="T16" s="610">
        <f>([5]segmenty!$B$69)*1000</f>
        <v>605000</v>
      </c>
      <c r="U16" s="610">
        <f>([5]segmenty!$B$63)*1000</f>
        <v>7018000</v>
      </c>
      <c r="W16" s="610">
        <f>('[5]segmenty 3 m-ce'!$B$100)*1000</f>
        <v>2455000</v>
      </c>
      <c r="X16" s="610">
        <f>('[5]segmenty 3 m-ce'!$B$115)*1000</f>
        <v>118000</v>
      </c>
      <c r="Y16" s="610">
        <f>('[5]segmenty 3 m-ce'!$B$112)*1000</f>
        <v>25000</v>
      </c>
      <c r="Z16" s="610">
        <f t="shared" ref="Z16:Z21" si="43">U16</f>
        <v>7018000</v>
      </c>
      <c r="AB16" s="610">
        <v>5734000</v>
      </c>
      <c r="AC16" s="610">
        <v>758000</v>
      </c>
      <c r="AD16" s="610">
        <v>580000</v>
      </c>
      <c r="AE16" s="610">
        <v>7018000</v>
      </c>
      <c r="AG16" s="610">
        <v>2444000</v>
      </c>
      <c r="AH16" s="610">
        <v>427000</v>
      </c>
      <c r="AI16" s="610">
        <v>334000</v>
      </c>
      <c r="AJ16" s="610">
        <f t="shared" ref="AJ16:AJ21" si="44">AE16</f>
        <v>7018000</v>
      </c>
      <c r="AL16" s="610">
        <f>[6]segmenty!$B$47*1000</f>
        <v>4030000</v>
      </c>
      <c r="AM16" s="610">
        <f>[6]segmenty!$B$72*1000</f>
        <v>458000</v>
      </c>
      <c r="AN16" s="610">
        <f>[6]segmenty!$B$69*1000</f>
        <v>346000</v>
      </c>
      <c r="AO16" s="610">
        <f>[6]segmenty!$B$63*1000</f>
        <v>10023000</v>
      </c>
      <c r="AQ16" s="610">
        <f>([7]segmenty!$B$48)*1000</f>
        <v>11126000</v>
      </c>
      <c r="AR16" s="610">
        <f>([7]segmenty!$B$73)*1000</f>
        <v>-779000</v>
      </c>
      <c r="AS16" s="610">
        <f>([7]segmenty!$B$70)*1000</f>
        <v>-1307000</v>
      </c>
      <c r="AT16" s="610">
        <f>([7]segmenty!$B$64)*1000</f>
        <v>10157000</v>
      </c>
      <c r="AV16" s="610">
        <f t="shared" ref="AV16:AX22" si="45">AQ16-BA16</f>
        <v>3454000</v>
      </c>
      <c r="AW16" s="610">
        <f t="shared" si="45"/>
        <v>-111000</v>
      </c>
      <c r="AX16" s="610">
        <f t="shared" si="45"/>
        <v>-304000</v>
      </c>
      <c r="AY16" s="610">
        <f t="shared" ref="AY16:AY21" si="46">AT16</f>
        <v>10157000</v>
      </c>
      <c r="BA16" s="610">
        <f>([8]segmenty!$B$48)*1000</f>
        <v>7672000</v>
      </c>
      <c r="BB16" s="610">
        <f>([8]segmenty!$B$73)*1000</f>
        <v>-668000</v>
      </c>
      <c r="BC16" s="610">
        <f>([8]segmenty!$B$70)*1000</f>
        <v>-1003000</v>
      </c>
      <c r="BD16" s="610">
        <f>([8]segmenty!$B$64)*1000</f>
        <v>10157000</v>
      </c>
      <c r="BF16" s="610">
        <f>('[8]segmenty 3 m-ce PREZ'!$B$39)*1000</f>
        <v>2253000</v>
      </c>
      <c r="BG16" s="610">
        <f>('[8]segmenty 3 m-ce PREZ'!$B$46)*1000</f>
        <v>-638000</v>
      </c>
      <c r="BH16" s="610">
        <f>('[8]segmenty 3 m-ce PREZ'!$B$42)*1000</f>
        <v>-751000</v>
      </c>
      <c r="BI16" s="610">
        <f t="shared" ref="BI16:BI21" si="47">BD16</f>
        <v>10157000</v>
      </c>
      <c r="BK16" s="610">
        <f>([9]segmenty!$B$48)*1000</f>
        <v>5419000</v>
      </c>
      <c r="BL16" s="610">
        <f>([9]segmenty!$B$72)*1000</f>
        <v>-30000</v>
      </c>
      <c r="BM16" s="610">
        <f>([9]segmenty!$B$69)*1000</f>
        <v>-252000</v>
      </c>
      <c r="BN16" s="610">
        <f>([9]segmenty!$B$63)*1000</f>
        <v>10157000</v>
      </c>
      <c r="BP16" s="610">
        <f>('[9]segmenty 3 m-ce'!$B$101)*1000</f>
        <v>2363000</v>
      </c>
      <c r="BQ16" s="610">
        <f>('[9]segmenty 3 m-ce'!$B$115)*1000</f>
        <v>-925000</v>
      </c>
      <c r="BR16" s="610">
        <f>('[9]segmenty 3 m-ce'!$B$112)*1000</f>
        <v>-1038000</v>
      </c>
      <c r="BS16" s="610">
        <f t="shared" ref="BS16:BS21" si="48">BX16</f>
        <v>10157000</v>
      </c>
      <c r="BU16" s="610">
        <f>[10]segmenty!$B$48*1000</f>
        <v>3056000</v>
      </c>
      <c r="BV16" s="610">
        <f>[10]segmenty!$B$71*1000</f>
        <v>895000</v>
      </c>
      <c r="BW16" s="610">
        <f>[10]segmenty!$B$69*1000</f>
        <v>786000</v>
      </c>
      <c r="BX16" s="610">
        <f>[10]segmenty!$B$63*1000</f>
        <v>10157000</v>
      </c>
      <c r="BZ16" s="610">
        <f t="shared" ref="BZ16:CB21" si="49">CE16-CO16</f>
        <v>3401000</v>
      </c>
      <c r="CA16" s="610">
        <f t="shared" si="49"/>
        <v>56000</v>
      </c>
      <c r="CB16" s="610">
        <f t="shared" si="49"/>
        <v>-70000</v>
      </c>
      <c r="CC16" s="610">
        <f t="shared" ref="CC16:CC22" si="50">CH16</f>
        <v>8849000</v>
      </c>
      <c r="CE16" s="610">
        <v>9819000</v>
      </c>
      <c r="CF16" s="610">
        <v>1375000</v>
      </c>
      <c r="CG16" s="610">
        <v>-25000</v>
      </c>
      <c r="CH16" s="610">
        <v>8849000</v>
      </c>
      <c r="CJ16" s="467">
        <v>2359000</v>
      </c>
      <c r="CK16" s="467">
        <v>311000</v>
      </c>
      <c r="CL16" s="467">
        <v>204000</v>
      </c>
      <c r="CM16" s="467">
        <f t="shared" si="24"/>
        <v>8849000</v>
      </c>
      <c r="CO16" s="467">
        <v>6418000</v>
      </c>
      <c r="CP16" s="467">
        <v>1319000</v>
      </c>
      <c r="CQ16" s="467">
        <v>45000</v>
      </c>
      <c r="CR16" s="467">
        <v>8849000</v>
      </c>
      <c r="CT16" s="467">
        <f t="shared" si="25"/>
        <v>1751000</v>
      </c>
      <c r="CU16" s="467">
        <f t="shared" si="26"/>
        <v>322000</v>
      </c>
      <c r="CV16" s="467">
        <f t="shared" si="27"/>
        <v>-729000</v>
      </c>
      <c r="CW16" s="467">
        <v>8849000</v>
      </c>
      <c r="CY16" s="467">
        <v>4059000</v>
      </c>
      <c r="CZ16" s="467">
        <v>1008000</v>
      </c>
      <c r="DA16" s="467">
        <v>-159000</v>
      </c>
      <c r="DB16" s="467">
        <v>8849000</v>
      </c>
      <c r="DD16" s="467">
        <v>2308000</v>
      </c>
      <c r="DE16" s="467">
        <v>686000</v>
      </c>
      <c r="DF16" s="467">
        <v>570000</v>
      </c>
      <c r="DG16" s="467">
        <v>8849000</v>
      </c>
      <c r="DI16" s="467">
        <f t="shared" si="28"/>
        <v>1505971</v>
      </c>
      <c r="DJ16" s="467">
        <f t="shared" si="29"/>
        <v>206057</v>
      </c>
      <c r="DK16" s="467">
        <f t="shared" si="30"/>
        <v>-2463464</v>
      </c>
      <c r="DL16" s="467">
        <f t="shared" si="31"/>
        <v>10053831.77825</v>
      </c>
      <c r="DN16" s="467">
        <v>4522000</v>
      </c>
      <c r="DO16" s="467">
        <v>344000</v>
      </c>
      <c r="DP16" s="467">
        <v>-3238000</v>
      </c>
      <c r="DQ16" s="467">
        <v>10053831.77825</v>
      </c>
      <c r="DS16" s="467">
        <f t="shared" si="32"/>
        <v>936871</v>
      </c>
      <c r="DT16" s="467">
        <f t="shared" si="32"/>
        <v>19921</v>
      </c>
      <c r="DU16" s="467">
        <f t="shared" si="32"/>
        <v>-77241</v>
      </c>
      <c r="DV16" s="467">
        <f t="shared" si="33"/>
        <v>10054581.77825</v>
      </c>
      <c r="DX16" s="467">
        <v>3016029</v>
      </c>
      <c r="DY16" s="467">
        <v>137943</v>
      </c>
      <c r="DZ16" s="467">
        <v>-774536</v>
      </c>
      <c r="EA16" s="467">
        <v>10054581.77825</v>
      </c>
      <c r="EC16" s="467">
        <f t="shared" si="34"/>
        <v>924200</v>
      </c>
      <c r="ED16" s="467">
        <f t="shared" si="34"/>
        <v>48538</v>
      </c>
      <c r="EE16" s="467">
        <f t="shared" si="34"/>
        <v>-684572</v>
      </c>
      <c r="EF16" s="467">
        <f t="shared" si="35"/>
        <v>10054581.77825</v>
      </c>
      <c r="EH16" s="467">
        <v>2079158</v>
      </c>
      <c r="EI16" s="467">
        <v>118022</v>
      </c>
      <c r="EJ16" s="467">
        <v>-697295</v>
      </c>
      <c r="EK16" s="467">
        <v>10054581.77825</v>
      </c>
      <c r="EM16" s="467">
        <v>1154958</v>
      </c>
      <c r="EN16" s="467">
        <v>69484</v>
      </c>
      <c r="EO16" s="467">
        <v>-12723</v>
      </c>
      <c r="EP16" s="467">
        <v>10054581.77825</v>
      </c>
      <c r="ER16" s="467">
        <f t="shared" si="36"/>
        <v>846540</v>
      </c>
      <c r="ES16" s="467">
        <f t="shared" si="37"/>
        <v>64625</v>
      </c>
      <c r="ET16" s="467">
        <f t="shared" si="38"/>
        <v>-723565</v>
      </c>
      <c r="EU16" s="467">
        <f t="shared" si="39"/>
        <v>10010983</v>
      </c>
      <c r="EW16" s="467">
        <v>3428637</v>
      </c>
      <c r="EX16" s="467">
        <v>438114</v>
      </c>
      <c r="EY16" s="467">
        <v>-509635</v>
      </c>
      <c r="EZ16" s="467">
        <v>10010983</v>
      </c>
      <c r="FB16" s="467">
        <v>860411</v>
      </c>
      <c r="FC16" s="467">
        <v>94665</v>
      </c>
      <c r="FD16" s="467">
        <v>42274</v>
      </c>
      <c r="FE16" s="467">
        <f t="shared" si="40"/>
        <v>10010983</v>
      </c>
      <c r="FG16" s="467">
        <v>2582097</v>
      </c>
      <c r="FH16" s="467">
        <v>373489</v>
      </c>
      <c r="FI16" s="467">
        <v>213930</v>
      </c>
      <c r="FJ16" s="467">
        <v>10010983</v>
      </c>
      <c r="FL16" s="464">
        <f t="shared" si="41"/>
        <v>818613</v>
      </c>
      <c r="FM16" s="465">
        <f t="shared" si="41"/>
        <v>69009</v>
      </c>
      <c r="FN16" s="464">
        <f t="shared" si="41"/>
        <v>15013</v>
      </c>
      <c r="FO16" s="464">
        <v>10809128</v>
      </c>
      <c r="FQ16" s="464">
        <v>1721686</v>
      </c>
      <c r="FR16" s="465">
        <v>280877</v>
      </c>
      <c r="FS16" s="464">
        <v>173709</v>
      </c>
      <c r="FT16" s="464">
        <v>10809128</v>
      </c>
      <c r="FV16" s="464">
        <v>903073</v>
      </c>
      <c r="FW16" s="465">
        <v>211868</v>
      </c>
      <c r="FX16" s="464">
        <v>158696</v>
      </c>
      <c r="FY16" s="464">
        <v>13461532</v>
      </c>
      <c r="FZ16" s="5"/>
      <c r="GA16" s="144">
        <v>4638494</v>
      </c>
      <c r="GB16" s="346">
        <v>731372</v>
      </c>
      <c r="GC16" s="144">
        <v>196658</v>
      </c>
      <c r="GD16" s="144">
        <v>12712861</v>
      </c>
      <c r="GF16" s="144">
        <v>1369745</v>
      </c>
      <c r="GG16" s="346">
        <v>82432</v>
      </c>
      <c r="GH16" s="144">
        <v>-494471</v>
      </c>
      <c r="GI16" s="144">
        <v>12712861</v>
      </c>
      <c r="GK16" s="144">
        <v>3268749</v>
      </c>
      <c r="GL16" s="346">
        <v>648940</v>
      </c>
      <c r="GM16" s="144">
        <v>691129</v>
      </c>
      <c r="GN16" s="144">
        <v>12712861</v>
      </c>
      <c r="GP16" s="144">
        <v>1149397</v>
      </c>
      <c r="GQ16" s="346">
        <v>57190</v>
      </c>
      <c r="GR16" s="144">
        <v>-49720</v>
      </c>
      <c r="GS16" s="144">
        <v>12712861</v>
      </c>
      <c r="GV16" s="144">
        <v>2119352</v>
      </c>
      <c r="GW16" s="346">
        <v>591750</v>
      </c>
      <c r="GX16" s="144">
        <v>740849</v>
      </c>
      <c r="GY16" s="144">
        <v>12712861</v>
      </c>
      <c r="HA16" s="144">
        <v>947169</v>
      </c>
      <c r="HB16" s="346">
        <v>126438</v>
      </c>
      <c r="HC16" s="144">
        <v>369183</v>
      </c>
      <c r="HD16" s="144">
        <v>12712861</v>
      </c>
      <c r="HF16" s="144">
        <v>1172183</v>
      </c>
      <c r="HG16" s="346">
        <v>465312</v>
      </c>
      <c r="HH16" s="144">
        <v>371666</v>
      </c>
      <c r="HI16" s="144">
        <v>12712861</v>
      </c>
      <c r="HK16" s="144">
        <v>4537002</v>
      </c>
      <c r="HL16" s="346">
        <v>537024</v>
      </c>
      <c r="HM16" s="144">
        <v>89645</v>
      </c>
      <c r="HN16" s="144">
        <v>11798018</v>
      </c>
      <c r="HP16" s="341">
        <v>1209501</v>
      </c>
      <c r="HQ16" s="342">
        <v>81095</v>
      </c>
      <c r="HR16" s="341">
        <v>-24074</v>
      </c>
      <c r="HS16" s="341">
        <v>11798018</v>
      </c>
      <c r="HU16" s="144">
        <v>3327501</v>
      </c>
      <c r="HV16" s="346">
        <v>455929</v>
      </c>
      <c r="HW16" s="144">
        <v>113719</v>
      </c>
      <c r="HX16" s="144">
        <v>11798018</v>
      </c>
      <c r="HZ16" s="144">
        <v>1042672</v>
      </c>
      <c r="IA16" s="346">
        <v>91128</v>
      </c>
      <c r="IB16" s="144">
        <v>-25053</v>
      </c>
      <c r="IC16" s="144">
        <v>11798018</v>
      </c>
      <c r="IE16" s="156">
        <v>2284829</v>
      </c>
      <c r="IF16" s="183">
        <v>364801</v>
      </c>
      <c r="IG16" s="156">
        <v>138772</v>
      </c>
      <c r="IH16" s="156">
        <v>11798018</v>
      </c>
      <c r="IJ16" s="156">
        <v>1064128</v>
      </c>
      <c r="IK16" s="183">
        <v>136894</v>
      </c>
      <c r="IL16" s="156">
        <v>9273</v>
      </c>
      <c r="IM16" s="156">
        <v>11798018</v>
      </c>
      <c r="IO16" s="156">
        <v>1220701</v>
      </c>
      <c r="IP16" s="183">
        <v>227907</v>
      </c>
      <c r="IQ16" s="156">
        <v>129499</v>
      </c>
      <c r="IR16" s="156">
        <v>11798018</v>
      </c>
      <c r="IT16" s="156">
        <v>4356101</v>
      </c>
      <c r="IU16" s="156">
        <v>545311</v>
      </c>
      <c r="IV16" s="156">
        <v>-752813</v>
      </c>
      <c r="IW16" s="156">
        <v>10874288</v>
      </c>
      <c r="IY16" s="156">
        <v>1112410</v>
      </c>
      <c r="IZ16" s="183">
        <v>98202</v>
      </c>
      <c r="JA16" s="156">
        <v>-182972</v>
      </c>
      <c r="JB16" s="156">
        <v>10874288</v>
      </c>
      <c r="JC16" s="157"/>
      <c r="JD16" s="156">
        <v>3243691</v>
      </c>
      <c r="JE16" s="156">
        <v>447109</v>
      </c>
      <c r="JF16" s="156">
        <v>-569841</v>
      </c>
      <c r="JG16" s="156">
        <v>10412940</v>
      </c>
      <c r="JH16" s="156"/>
      <c r="JI16" s="156">
        <v>901057</v>
      </c>
      <c r="JJ16" s="156">
        <v>93148</v>
      </c>
      <c r="JK16" s="156">
        <v>-11530</v>
      </c>
      <c r="JL16" s="156">
        <v>10412940</v>
      </c>
      <c r="JM16" s="157"/>
      <c r="JN16" s="156">
        <v>2342634</v>
      </c>
      <c r="JO16" s="156">
        <v>353961</v>
      </c>
      <c r="JP16" s="156">
        <v>-558311</v>
      </c>
      <c r="JQ16" s="156">
        <v>10874288</v>
      </c>
      <c r="JR16" s="157"/>
      <c r="JS16" s="156">
        <f t="shared" si="42"/>
        <v>1070810</v>
      </c>
      <c r="JT16" s="156">
        <f t="shared" si="42"/>
        <v>162812</v>
      </c>
      <c r="JU16" s="156">
        <f t="shared" si="42"/>
        <v>-647533</v>
      </c>
      <c r="JV16" s="156">
        <f>KA16</f>
        <v>10874288</v>
      </c>
      <c r="JW16" s="157"/>
      <c r="JX16" s="156">
        <v>1271824</v>
      </c>
      <c r="JY16" s="156">
        <v>191149</v>
      </c>
      <c r="JZ16" s="156">
        <v>89222</v>
      </c>
      <c r="KA16" s="156">
        <v>10874288</v>
      </c>
      <c r="KB16" s="157"/>
      <c r="KC16" s="156">
        <v>5376280</v>
      </c>
      <c r="KD16" s="156">
        <v>754751</v>
      </c>
      <c r="KE16" s="156">
        <v>-3477076</v>
      </c>
      <c r="KF16" s="156">
        <v>10788413</v>
      </c>
      <c r="KG16" s="157"/>
      <c r="KH16" s="156">
        <v>1464821</v>
      </c>
      <c r="KI16" s="156">
        <v>190712</v>
      </c>
      <c r="KJ16" s="156">
        <v>-3607565</v>
      </c>
      <c r="KK16" s="156">
        <v>10788413</v>
      </c>
      <c r="KL16" s="157"/>
      <c r="KM16" s="156">
        <v>3911459</v>
      </c>
      <c r="KN16" s="156">
        <v>564039</v>
      </c>
      <c r="KO16" s="156">
        <v>130489</v>
      </c>
      <c r="KP16" s="156">
        <v>10788413</v>
      </c>
      <c r="KQ16" s="157"/>
      <c r="KR16" s="156">
        <v>1164371</v>
      </c>
      <c r="KS16" s="156">
        <v>97637</v>
      </c>
      <c r="KT16" s="156">
        <v>-51447</v>
      </c>
      <c r="KU16" s="156">
        <v>10788413</v>
      </c>
      <c r="KV16" s="157"/>
      <c r="KW16" s="156">
        <v>2747088</v>
      </c>
      <c r="KX16" s="156">
        <v>466402</v>
      </c>
      <c r="KY16" s="156">
        <v>181936</v>
      </c>
      <c r="KZ16" s="156">
        <v>10788413</v>
      </c>
      <c r="LA16" s="157"/>
      <c r="LB16" s="156">
        <v>1184017</v>
      </c>
      <c r="LC16" s="156">
        <v>188031</v>
      </c>
      <c r="LD16" s="156">
        <v>44376</v>
      </c>
      <c r="LE16" s="156">
        <v>10788413</v>
      </c>
      <c r="LF16" s="157"/>
      <c r="LG16" s="156">
        <v>1563071</v>
      </c>
      <c r="LH16" s="156">
        <v>278371</v>
      </c>
      <c r="LI16" s="156">
        <v>137560</v>
      </c>
      <c r="LJ16" s="156">
        <v>10788413</v>
      </c>
      <c r="LK16" s="157"/>
      <c r="LL16" s="156">
        <v>4963651</v>
      </c>
      <c r="LM16" s="156">
        <v>792803</v>
      </c>
      <c r="LN16" s="156">
        <v>72093</v>
      </c>
      <c r="LO16" s="156">
        <v>13160048</v>
      </c>
      <c r="LP16" s="163"/>
      <c r="LQ16" s="156">
        <v>1379772.8041700004</v>
      </c>
      <c r="LR16" s="156">
        <v>258487</v>
      </c>
      <c r="LS16" s="156">
        <v>72848</v>
      </c>
      <c r="LT16" s="156">
        <v>13160048</v>
      </c>
      <c r="LU16" s="163"/>
      <c r="LV16" s="156">
        <v>3583878.1958299996</v>
      </c>
      <c r="LW16" s="156">
        <v>534316</v>
      </c>
      <c r="LX16" s="156">
        <v>-755</v>
      </c>
      <c r="LY16" s="156">
        <v>13160048</v>
      </c>
      <c r="LZ16" s="157"/>
      <c r="MA16" s="156">
        <v>1184469.1958299996</v>
      </c>
      <c r="MB16" s="156">
        <v>135550</v>
      </c>
      <c r="MC16" s="156">
        <v>-39176</v>
      </c>
      <c r="MD16" s="156">
        <v>13160048</v>
      </c>
      <c r="ME16" s="157"/>
      <c r="MF16" s="156">
        <v>2320273.9343399997</v>
      </c>
      <c r="MG16" s="156">
        <v>388933</v>
      </c>
      <c r="MH16" s="156">
        <v>38421</v>
      </c>
      <c r="MI16" s="156">
        <v>13160048</v>
      </c>
      <c r="MJ16" s="157"/>
      <c r="MK16" s="156">
        <v>1067907.9343399997</v>
      </c>
      <c r="ML16" s="156">
        <v>136494</v>
      </c>
      <c r="MM16" s="156">
        <v>-38190</v>
      </c>
      <c r="MN16" s="156">
        <v>13160048</v>
      </c>
      <c r="MO16" s="157"/>
      <c r="MP16" s="156">
        <v>1252366</v>
      </c>
      <c r="MQ16" s="156">
        <v>252439</v>
      </c>
      <c r="MR16" s="156">
        <v>76611</v>
      </c>
      <c r="MS16" s="156">
        <v>13160048</v>
      </c>
      <c r="MT16" s="157"/>
      <c r="MU16" s="157"/>
      <c r="MV16" s="157"/>
      <c r="MW16" s="157"/>
      <c r="MX16" s="157"/>
      <c r="MY16" s="157"/>
      <c r="MZ16" s="157"/>
      <c r="NA16" s="157"/>
      <c r="NB16" s="157"/>
      <c r="NC16" s="157"/>
      <c r="ND16" s="157"/>
      <c r="NE16" s="157"/>
      <c r="NF16" s="157"/>
      <c r="NG16" s="157"/>
      <c r="NH16" s="157"/>
      <c r="NI16" s="157"/>
      <c r="NJ16" s="157"/>
      <c r="NK16" s="157"/>
      <c r="NL16" s="157"/>
      <c r="NM16" s="157"/>
      <c r="NN16" s="157"/>
      <c r="NO16" s="157"/>
      <c r="NP16" s="157"/>
      <c r="NQ16" s="157"/>
      <c r="NR16" s="157"/>
      <c r="NS16" s="157"/>
      <c r="NT16" s="157"/>
      <c r="NU16" s="157"/>
      <c r="NV16" s="157"/>
      <c r="NW16" s="157"/>
      <c r="NX16" s="157"/>
      <c r="NY16" s="157"/>
      <c r="NZ16" s="157"/>
      <c r="OA16" s="157"/>
      <c r="OB16" s="157"/>
      <c r="OC16" s="157"/>
      <c r="OD16" s="157"/>
      <c r="OE16" s="157"/>
      <c r="OF16" s="157"/>
      <c r="OG16" s="157"/>
      <c r="OH16" s="157"/>
      <c r="OI16" s="157"/>
      <c r="OJ16" s="157"/>
      <c r="OK16" s="157"/>
      <c r="OL16" s="157"/>
      <c r="OM16" s="157"/>
      <c r="ON16" s="157"/>
      <c r="OO16" s="157"/>
      <c r="OP16" s="157"/>
      <c r="OQ16" s="157"/>
      <c r="OR16" s="157"/>
      <c r="OS16" s="157"/>
      <c r="OT16" s="157"/>
      <c r="OU16" s="157"/>
      <c r="OV16" s="157"/>
      <c r="OW16" s="157"/>
      <c r="OX16" s="157"/>
      <c r="OY16" s="157"/>
      <c r="OZ16" s="157"/>
      <c r="PA16" s="157"/>
    </row>
    <row r="17" spans="1:417">
      <c r="A17" s="466" t="s">
        <v>25</v>
      </c>
      <c r="C17" s="610"/>
      <c r="D17" s="610"/>
      <c r="E17" s="610"/>
      <c r="F17" s="610"/>
      <c r="H17" s="610"/>
      <c r="I17" s="610"/>
      <c r="J17" s="610"/>
      <c r="K17" s="610"/>
      <c r="M17" s="610"/>
      <c r="N17" s="610"/>
      <c r="O17" s="610"/>
      <c r="P17" s="610"/>
      <c r="R17" s="610">
        <f>([5]segmenty!$C$47)*1000</f>
        <v>1664000</v>
      </c>
      <c r="S17" s="610">
        <f>([5]segmenty!$C$72)*1000</f>
        <v>221000</v>
      </c>
      <c r="T17" s="610">
        <f>([5]segmenty!$C$69)*1000</f>
        <v>140000</v>
      </c>
      <c r="U17" s="610">
        <f>([5]segmenty!$C$63)*1000</f>
        <v>2995000</v>
      </c>
      <c r="W17" s="610">
        <f>('[5]segmenty 3 m-ce'!$C$100)*1000</f>
        <v>278000</v>
      </c>
      <c r="X17" s="610">
        <f>('[5]segmenty 3 m-ce'!$C$115)*1000</f>
        <v>16000</v>
      </c>
      <c r="Y17" s="610">
        <f>('[5]segmenty 3 m-ce'!$C$112)*1000</f>
        <v>-11000</v>
      </c>
      <c r="Z17" s="610">
        <f t="shared" si="43"/>
        <v>2995000</v>
      </c>
      <c r="AB17" s="610">
        <v>1386000</v>
      </c>
      <c r="AC17" s="610">
        <v>205000</v>
      </c>
      <c r="AD17" s="610">
        <v>151000</v>
      </c>
      <c r="AE17" s="610">
        <f>2995000</f>
        <v>2995000</v>
      </c>
      <c r="AG17" s="610">
        <v>502000</v>
      </c>
      <c r="AH17" s="610">
        <v>73000</v>
      </c>
      <c r="AI17" s="610">
        <v>46000</v>
      </c>
      <c r="AJ17" s="610">
        <f t="shared" si="44"/>
        <v>2995000</v>
      </c>
      <c r="AL17" s="610"/>
      <c r="AM17" s="610"/>
      <c r="AN17" s="610"/>
      <c r="AO17" s="610"/>
      <c r="AQ17" s="610"/>
      <c r="AR17" s="610"/>
      <c r="AS17" s="610"/>
      <c r="AT17" s="610"/>
      <c r="AV17" s="610"/>
      <c r="AW17" s="610"/>
      <c r="AX17" s="610"/>
      <c r="AY17" s="610"/>
      <c r="BA17" s="610"/>
      <c r="BB17" s="610"/>
      <c r="BC17" s="610"/>
      <c r="BD17" s="610"/>
      <c r="BF17" s="610"/>
      <c r="BG17" s="610"/>
      <c r="BH17" s="610"/>
      <c r="BI17" s="610"/>
      <c r="BK17" s="610"/>
      <c r="BL17" s="610"/>
      <c r="BM17" s="610"/>
      <c r="BN17" s="610"/>
      <c r="BP17" s="610"/>
      <c r="BQ17" s="610"/>
      <c r="BR17" s="610"/>
      <c r="BS17" s="610"/>
      <c r="BU17" s="610"/>
      <c r="BV17" s="610"/>
      <c r="BW17" s="610"/>
      <c r="BX17" s="610"/>
      <c r="BZ17" s="610"/>
      <c r="CA17" s="610"/>
      <c r="CB17" s="610"/>
      <c r="CC17" s="610"/>
      <c r="CE17" s="610"/>
      <c r="CF17" s="610"/>
      <c r="CG17" s="610"/>
      <c r="CH17" s="610"/>
      <c r="CJ17" s="467"/>
      <c r="CK17" s="467"/>
      <c r="CL17" s="467"/>
      <c r="CM17" s="467"/>
      <c r="CO17" s="467"/>
      <c r="CP17" s="467"/>
      <c r="CQ17" s="467"/>
      <c r="CR17" s="467"/>
      <c r="CT17" s="467"/>
      <c r="CU17" s="467"/>
      <c r="CV17" s="467"/>
      <c r="CW17" s="467"/>
      <c r="CY17" s="467"/>
      <c r="CZ17" s="467"/>
      <c r="DA17" s="467"/>
      <c r="DB17" s="467"/>
      <c r="DD17" s="467"/>
      <c r="DE17" s="467"/>
      <c r="DF17" s="467"/>
      <c r="DG17" s="467"/>
      <c r="DI17" s="467"/>
      <c r="DJ17" s="467"/>
      <c r="DK17" s="467"/>
      <c r="DL17" s="467"/>
      <c r="DN17" s="467"/>
      <c r="DO17" s="467"/>
      <c r="DP17" s="467"/>
      <c r="DQ17" s="467"/>
      <c r="DS17" s="467"/>
      <c r="DT17" s="467"/>
      <c r="DU17" s="467"/>
      <c r="DV17" s="467"/>
      <c r="DX17" s="467"/>
      <c r="DY17" s="467"/>
      <c r="DZ17" s="467"/>
      <c r="EA17" s="467"/>
      <c r="EC17" s="467"/>
      <c r="ED17" s="467"/>
      <c r="EE17" s="467"/>
      <c r="EF17" s="467"/>
      <c r="EH17" s="467"/>
      <c r="EI17" s="467"/>
      <c r="EJ17" s="467"/>
      <c r="EK17" s="467"/>
      <c r="EM17" s="467"/>
      <c r="EN17" s="467"/>
      <c r="EO17" s="467"/>
      <c r="EP17" s="467"/>
      <c r="ER17" s="467"/>
      <c r="ES17" s="467"/>
      <c r="ET17" s="467"/>
      <c r="EU17" s="467"/>
      <c r="EW17" s="467"/>
      <c r="EX17" s="467"/>
      <c r="EY17" s="467"/>
      <c r="EZ17" s="467"/>
      <c r="FB17" s="467"/>
      <c r="FC17" s="467"/>
      <c r="FD17" s="467"/>
      <c r="FE17" s="467"/>
      <c r="FG17" s="467"/>
      <c r="FH17" s="467"/>
      <c r="FI17" s="467"/>
      <c r="FJ17" s="467"/>
      <c r="FL17" s="464"/>
      <c r="FM17" s="465"/>
      <c r="FN17" s="464"/>
      <c r="FO17" s="464"/>
      <c r="FQ17" s="464"/>
      <c r="FR17" s="465"/>
      <c r="FS17" s="464"/>
      <c r="FT17" s="464"/>
      <c r="FV17" s="464"/>
      <c r="FW17" s="465"/>
      <c r="FX17" s="464"/>
      <c r="FY17" s="464"/>
      <c r="FZ17" s="5"/>
      <c r="GA17" s="144"/>
      <c r="GB17" s="346"/>
      <c r="GC17" s="144"/>
      <c r="GD17" s="144"/>
      <c r="GF17" s="144"/>
      <c r="GG17" s="346"/>
      <c r="GH17" s="144"/>
      <c r="GI17" s="144"/>
      <c r="GK17" s="144"/>
      <c r="GL17" s="346"/>
      <c r="GM17" s="144"/>
      <c r="GN17" s="144"/>
      <c r="GP17" s="144"/>
      <c r="GQ17" s="346"/>
      <c r="GR17" s="144"/>
      <c r="GS17" s="144"/>
      <c r="GV17" s="144"/>
      <c r="GW17" s="346"/>
      <c r="GX17" s="144"/>
      <c r="GY17" s="144"/>
      <c r="HA17" s="144"/>
      <c r="HB17" s="346"/>
      <c r="HC17" s="144"/>
      <c r="HD17" s="144"/>
      <c r="HF17" s="144"/>
      <c r="HG17" s="346"/>
      <c r="HH17" s="144"/>
      <c r="HI17" s="144"/>
      <c r="HK17" s="144"/>
      <c r="HL17" s="346"/>
      <c r="HM17" s="144"/>
      <c r="HN17" s="144"/>
      <c r="HP17" s="341"/>
      <c r="HQ17" s="342"/>
      <c r="HR17" s="341"/>
      <c r="HS17" s="341"/>
      <c r="HU17" s="144"/>
      <c r="HV17" s="346"/>
      <c r="HW17" s="144"/>
      <c r="HX17" s="144"/>
      <c r="HZ17" s="144"/>
      <c r="IA17" s="346"/>
      <c r="IB17" s="144"/>
      <c r="IC17" s="144"/>
      <c r="IE17" s="156"/>
      <c r="IF17" s="183"/>
      <c r="IG17" s="156"/>
      <c r="IH17" s="156"/>
      <c r="IJ17" s="156"/>
      <c r="IK17" s="183"/>
      <c r="IL17" s="156"/>
      <c r="IM17" s="156"/>
      <c r="IO17" s="156"/>
      <c r="IP17" s="183"/>
      <c r="IQ17" s="156"/>
      <c r="IR17" s="156"/>
      <c r="IT17" s="156"/>
      <c r="IU17" s="156"/>
      <c r="IV17" s="156"/>
      <c r="IW17" s="156"/>
      <c r="IY17" s="156"/>
      <c r="IZ17" s="183"/>
      <c r="JA17" s="156"/>
      <c r="JB17" s="156"/>
      <c r="JC17" s="157"/>
      <c r="JD17" s="156"/>
      <c r="JE17" s="156"/>
      <c r="JF17" s="156"/>
      <c r="JG17" s="156"/>
      <c r="JH17" s="156"/>
      <c r="JI17" s="156"/>
      <c r="JJ17" s="156"/>
      <c r="JK17" s="156"/>
      <c r="JL17" s="156"/>
      <c r="JM17" s="157"/>
      <c r="JN17" s="156"/>
      <c r="JO17" s="156"/>
      <c r="JP17" s="156"/>
      <c r="JQ17" s="156"/>
      <c r="JR17" s="157"/>
      <c r="JS17" s="156"/>
      <c r="JT17" s="156"/>
      <c r="JU17" s="156"/>
      <c r="JV17" s="156"/>
      <c r="JW17" s="157"/>
      <c r="JX17" s="156"/>
      <c r="JY17" s="156"/>
      <c r="JZ17" s="156"/>
      <c r="KA17" s="156"/>
      <c r="KB17" s="157"/>
      <c r="KC17" s="156"/>
      <c r="KD17" s="156"/>
      <c r="KE17" s="156"/>
      <c r="KF17" s="156"/>
      <c r="KG17" s="157"/>
      <c r="KH17" s="156"/>
      <c r="KI17" s="156"/>
      <c r="KJ17" s="156"/>
      <c r="KK17" s="156"/>
      <c r="KL17" s="157"/>
      <c r="KM17" s="156"/>
      <c r="KN17" s="156"/>
      <c r="KO17" s="156"/>
      <c r="KP17" s="156"/>
      <c r="KQ17" s="157"/>
      <c r="KR17" s="156"/>
      <c r="KS17" s="156"/>
      <c r="KT17" s="156"/>
      <c r="KU17" s="156"/>
      <c r="KV17" s="157"/>
      <c r="KW17" s="156"/>
      <c r="KX17" s="156"/>
      <c r="KY17" s="156"/>
      <c r="KZ17" s="156"/>
      <c r="LA17" s="157"/>
      <c r="LB17" s="156"/>
      <c r="LC17" s="156"/>
      <c r="LD17" s="156"/>
      <c r="LE17" s="156"/>
      <c r="LF17" s="157"/>
      <c r="LG17" s="156"/>
      <c r="LH17" s="156"/>
      <c r="LI17" s="156"/>
      <c r="LJ17" s="156"/>
      <c r="LK17" s="157"/>
      <c r="LL17" s="156"/>
      <c r="LM17" s="156"/>
      <c r="LN17" s="156"/>
      <c r="LO17" s="156"/>
      <c r="LP17" s="163"/>
      <c r="LQ17" s="156"/>
      <c r="LR17" s="156"/>
      <c r="LS17" s="156"/>
      <c r="LT17" s="156"/>
      <c r="LU17" s="163"/>
      <c r="LV17" s="156"/>
      <c r="LW17" s="156"/>
      <c r="LX17" s="156"/>
      <c r="LY17" s="156"/>
      <c r="LZ17" s="157"/>
      <c r="MA17" s="156"/>
      <c r="MB17" s="156"/>
      <c r="MC17" s="156"/>
      <c r="MD17" s="156"/>
      <c r="ME17" s="157"/>
      <c r="MF17" s="156"/>
      <c r="MG17" s="156"/>
      <c r="MH17" s="156"/>
      <c r="MI17" s="156"/>
      <c r="MJ17" s="157"/>
      <c r="MK17" s="156"/>
      <c r="ML17" s="156"/>
      <c r="MM17" s="156"/>
      <c r="MN17" s="156"/>
      <c r="MO17" s="157"/>
      <c r="MP17" s="156"/>
      <c r="MQ17" s="156"/>
      <c r="MR17" s="156"/>
      <c r="MS17" s="156"/>
      <c r="MT17" s="157"/>
      <c r="MU17" s="157"/>
      <c r="MV17" s="157"/>
      <c r="MW17" s="157"/>
      <c r="MX17" s="157"/>
      <c r="MY17" s="157"/>
      <c r="MZ17" s="157"/>
      <c r="NA17" s="157"/>
      <c r="NB17" s="157"/>
      <c r="NC17" s="157"/>
      <c r="ND17" s="157"/>
      <c r="NE17" s="157"/>
      <c r="NF17" s="157"/>
      <c r="NG17" s="157"/>
      <c r="NH17" s="157"/>
      <c r="NI17" s="157"/>
      <c r="NJ17" s="157"/>
      <c r="NK17" s="157"/>
      <c r="NL17" s="157"/>
      <c r="NM17" s="157"/>
      <c r="NN17" s="157"/>
      <c r="NO17" s="157"/>
      <c r="NP17" s="157"/>
      <c r="NQ17" s="157"/>
      <c r="NR17" s="157"/>
      <c r="NS17" s="157"/>
      <c r="NT17" s="157"/>
      <c r="NU17" s="157"/>
      <c r="NV17" s="157"/>
      <c r="NW17" s="157"/>
      <c r="NX17" s="157"/>
      <c r="NY17" s="157"/>
      <c r="NZ17" s="157"/>
      <c r="OA17" s="157"/>
      <c r="OB17" s="157"/>
      <c r="OC17" s="157"/>
      <c r="OD17" s="157"/>
      <c r="OE17" s="157"/>
      <c r="OF17" s="157"/>
      <c r="OG17" s="157"/>
      <c r="OH17" s="157"/>
      <c r="OI17" s="157"/>
      <c r="OJ17" s="157"/>
      <c r="OK17" s="157"/>
      <c r="OL17" s="157"/>
      <c r="OM17" s="157"/>
      <c r="ON17" s="157"/>
      <c r="OO17" s="157"/>
      <c r="OP17" s="157"/>
      <c r="OQ17" s="157"/>
      <c r="OR17" s="157"/>
      <c r="OS17" s="157"/>
      <c r="OT17" s="157"/>
      <c r="OU17" s="157"/>
      <c r="OV17" s="157"/>
      <c r="OW17" s="157"/>
      <c r="OX17" s="157"/>
      <c r="OY17" s="157"/>
      <c r="OZ17" s="157"/>
      <c r="PA17" s="157"/>
    </row>
    <row r="18" spans="1:417">
      <c r="A18" s="59" t="s">
        <v>581</v>
      </c>
      <c r="C18" s="610"/>
      <c r="D18" s="610"/>
      <c r="E18" s="610"/>
      <c r="F18" s="610"/>
      <c r="H18" s="610"/>
      <c r="I18" s="610"/>
      <c r="J18" s="610"/>
      <c r="K18" s="610"/>
      <c r="M18" s="610"/>
      <c r="N18" s="610"/>
      <c r="O18" s="610"/>
      <c r="P18" s="610"/>
      <c r="R18" s="610">
        <f>([5]segmenty!$D$47)*1000</f>
        <v>561000</v>
      </c>
      <c r="S18" s="610">
        <f>([5]segmenty!$D$72)*1000</f>
        <v>321000</v>
      </c>
      <c r="T18" s="610">
        <f>([5]segmenty!$D$69)*1000</f>
        <v>179000</v>
      </c>
      <c r="U18" s="610">
        <f>([5]segmenty!$D$63)*1000</f>
        <v>3971000</v>
      </c>
      <c r="W18" s="610">
        <f>('[5]segmenty 3 m-ce'!$D$100)*1000</f>
        <v>121000</v>
      </c>
      <c r="X18" s="610">
        <f>('[5]segmenty 3 m-ce'!$D$115)*1000</f>
        <v>45000</v>
      </c>
      <c r="Y18" s="610">
        <f>('[5]segmenty 3 m-ce'!$D$112)*1000</f>
        <v>-1000</v>
      </c>
      <c r="Z18" s="610">
        <f t="shared" si="43"/>
        <v>3971000</v>
      </c>
      <c r="AB18" s="610">
        <f>[9]segmenty!$C$9*1000</f>
        <v>440000</v>
      </c>
      <c r="AC18" s="610">
        <v>276000</v>
      </c>
      <c r="AD18" s="610">
        <v>180000</v>
      </c>
      <c r="AE18" s="610">
        <v>3971000</v>
      </c>
      <c r="AG18" s="610">
        <v>171000</v>
      </c>
      <c r="AH18" s="610">
        <v>90000</v>
      </c>
      <c r="AI18" s="610">
        <v>42000</v>
      </c>
      <c r="AJ18" s="610">
        <f t="shared" si="44"/>
        <v>3971000</v>
      </c>
      <c r="AL18" s="610">
        <f>[6]segmenty!$C$47*1000</f>
        <v>269000</v>
      </c>
      <c r="AM18" s="610">
        <f>[6]segmenty!$C$72*1000</f>
        <v>186000</v>
      </c>
      <c r="AN18" s="610">
        <f>[6]segmenty!$C$69*1000</f>
        <v>138000</v>
      </c>
      <c r="AO18" s="610">
        <f>[6]segmenty!$C$63*1000</f>
        <v>3971000</v>
      </c>
      <c r="AQ18" s="610">
        <f>([7]segmenty!$C$48)*1000</f>
        <v>909000</v>
      </c>
      <c r="AR18" s="610">
        <f>([7]segmenty!$C$73)*1000</f>
        <v>476000</v>
      </c>
      <c r="AS18" s="610">
        <f>([7]segmenty!$C$70)*1000</f>
        <v>292000</v>
      </c>
      <c r="AT18" s="610">
        <f>([7]segmenty!$C$64)*1000</f>
        <v>2910000</v>
      </c>
      <c r="AV18" s="610">
        <f t="shared" si="45"/>
        <v>163000</v>
      </c>
      <c r="AW18" s="610">
        <f t="shared" si="45"/>
        <v>94000</v>
      </c>
      <c r="AX18" s="610">
        <f t="shared" si="45"/>
        <v>20000</v>
      </c>
      <c r="AY18" s="610">
        <f t="shared" si="46"/>
        <v>2910000</v>
      </c>
      <c r="BA18" s="610">
        <f>([8]segmenty!$C$48)*1000</f>
        <v>746000</v>
      </c>
      <c r="BB18" s="610">
        <f>([8]segmenty!$C$73)*1000</f>
        <v>382000</v>
      </c>
      <c r="BC18" s="610">
        <f>([8]segmenty!$C$70)*1000</f>
        <v>272000</v>
      </c>
      <c r="BD18" s="610">
        <f>([8]segmenty!$C$64)*1000</f>
        <v>2910000</v>
      </c>
      <c r="BF18" s="610">
        <f>('[8]segmenty 3 m-ce PREZ'!$C$39)*1000</f>
        <v>178000</v>
      </c>
      <c r="BG18" s="610">
        <f>('[8]segmenty 3 m-ce PREZ'!$C$46)*1000</f>
        <v>86000</v>
      </c>
      <c r="BH18" s="610">
        <f>('[8]segmenty 3 m-ce PREZ'!$C$42)*1000</f>
        <v>50000</v>
      </c>
      <c r="BI18" s="610">
        <f t="shared" si="47"/>
        <v>2910000</v>
      </c>
      <c r="BK18" s="610">
        <f>([9]segmenty!$C$48)*1000</f>
        <v>568000</v>
      </c>
      <c r="BL18" s="610">
        <f>([9]segmenty!$C$72)*1000</f>
        <v>296000</v>
      </c>
      <c r="BM18" s="610">
        <f>([9]segmenty!$C$69)*1000</f>
        <v>222000</v>
      </c>
      <c r="BN18" s="610">
        <f>([9]segmenty!$C$63)*1000</f>
        <v>2910000</v>
      </c>
      <c r="BP18" s="610">
        <f>('[9]segmenty 3 m-ce'!$C$101)*1000</f>
        <v>254000</v>
      </c>
      <c r="BQ18" s="610">
        <f>('[9]segmenty 3 m-ce'!$C$115)*1000</f>
        <v>110000</v>
      </c>
      <c r="BR18" s="610">
        <f>('[9]segmenty 3 m-ce'!$C$112)*1000</f>
        <v>68000</v>
      </c>
      <c r="BS18" s="610">
        <f t="shared" si="48"/>
        <v>2910000</v>
      </c>
      <c r="BU18" s="610">
        <f>[10]segmenty!$C$48*1000</f>
        <v>314000</v>
      </c>
      <c r="BV18" s="610">
        <f>[10]segmenty!$C$71*1000</f>
        <v>186000</v>
      </c>
      <c r="BW18" s="610">
        <f>[10]segmenty!$C$69*1000</f>
        <v>154000</v>
      </c>
      <c r="BX18" s="610">
        <f>[10]segmenty!$C$63*1000</f>
        <v>2910000</v>
      </c>
      <c r="BZ18" s="610">
        <f t="shared" si="49"/>
        <v>217000</v>
      </c>
      <c r="CA18" s="610">
        <f t="shared" si="49"/>
        <v>125000</v>
      </c>
      <c r="CB18" s="610">
        <f t="shared" si="49"/>
        <v>90000</v>
      </c>
      <c r="CC18" s="610">
        <f t="shared" si="50"/>
        <v>2470000</v>
      </c>
      <c r="CE18" s="610">
        <v>661000</v>
      </c>
      <c r="CF18" s="610">
        <v>376000</v>
      </c>
      <c r="CG18" s="610">
        <v>224000</v>
      </c>
      <c r="CH18" s="610">
        <v>2470000</v>
      </c>
      <c r="CJ18" s="467">
        <v>135000</v>
      </c>
      <c r="CK18" s="467">
        <v>84000</v>
      </c>
      <c r="CL18" s="467">
        <v>45000</v>
      </c>
      <c r="CM18" s="467">
        <f t="shared" si="24"/>
        <v>2470000</v>
      </c>
      <c r="CO18" s="467">
        <v>444000</v>
      </c>
      <c r="CP18" s="467">
        <v>251000</v>
      </c>
      <c r="CQ18" s="467">
        <v>134000</v>
      </c>
      <c r="CR18" s="467">
        <v>2470000</v>
      </c>
      <c r="CT18" s="467">
        <f t="shared" si="25"/>
        <v>153000</v>
      </c>
      <c r="CU18" s="467">
        <f t="shared" si="26"/>
        <v>83000</v>
      </c>
      <c r="CV18" s="467">
        <f t="shared" si="27"/>
        <v>44000</v>
      </c>
      <c r="CW18" s="467">
        <v>2470000</v>
      </c>
      <c r="CY18" s="467">
        <v>309000</v>
      </c>
      <c r="CZ18" s="467">
        <v>167000</v>
      </c>
      <c r="DA18" s="467">
        <v>89000</v>
      </c>
      <c r="DB18" s="467">
        <v>2470000</v>
      </c>
      <c r="DD18" s="467">
        <v>156000</v>
      </c>
      <c r="DE18" s="467">
        <v>84000</v>
      </c>
      <c r="DF18" s="467">
        <v>45000</v>
      </c>
      <c r="DG18" s="467">
        <v>2470000</v>
      </c>
      <c r="DI18" s="467">
        <f t="shared" si="28"/>
        <v>158000</v>
      </c>
      <c r="DJ18" s="467">
        <f t="shared" si="29"/>
        <v>79638</v>
      </c>
      <c r="DK18" s="467">
        <f t="shared" si="30"/>
        <v>41525</v>
      </c>
      <c r="DL18" s="467">
        <f t="shared" si="31"/>
        <v>2439000</v>
      </c>
      <c r="DN18" s="467">
        <v>616000</v>
      </c>
      <c r="DO18" s="467">
        <v>297000</v>
      </c>
      <c r="DP18" s="467">
        <v>146000</v>
      </c>
      <c r="DQ18" s="467">
        <v>2439000</v>
      </c>
      <c r="DS18" s="467">
        <f t="shared" si="32"/>
        <v>108978</v>
      </c>
      <c r="DT18" s="467">
        <f t="shared" si="32"/>
        <v>53797</v>
      </c>
      <c r="DU18" s="467">
        <f t="shared" si="32"/>
        <v>16392</v>
      </c>
      <c r="DV18" s="467">
        <f t="shared" si="33"/>
        <v>2438924</v>
      </c>
      <c r="DX18" s="467">
        <v>458000</v>
      </c>
      <c r="DY18" s="467">
        <v>217362</v>
      </c>
      <c r="DZ18" s="467">
        <v>104475</v>
      </c>
      <c r="EA18" s="467">
        <v>2438924</v>
      </c>
      <c r="EC18" s="467">
        <f t="shared" si="34"/>
        <v>149855</v>
      </c>
      <c r="ED18" s="467">
        <f t="shared" si="34"/>
        <v>42495</v>
      </c>
      <c r="EE18" s="467">
        <f t="shared" si="34"/>
        <v>4801</v>
      </c>
      <c r="EF18" s="467">
        <f t="shared" si="35"/>
        <v>2438924</v>
      </c>
      <c r="EH18" s="467">
        <v>349022</v>
      </c>
      <c r="EI18" s="467">
        <v>163565</v>
      </c>
      <c r="EJ18" s="467">
        <v>88083</v>
      </c>
      <c r="EK18" s="467">
        <v>2438924</v>
      </c>
      <c r="EM18" s="467">
        <v>199167</v>
      </c>
      <c r="EN18" s="467">
        <v>121070</v>
      </c>
      <c r="EO18" s="467">
        <v>83282</v>
      </c>
      <c r="EP18" s="467">
        <v>2438924</v>
      </c>
      <c r="ER18" s="467">
        <f t="shared" si="36"/>
        <v>138116</v>
      </c>
      <c r="ES18" s="467">
        <f t="shared" si="37"/>
        <v>85816</v>
      </c>
      <c r="ET18" s="467">
        <f t="shared" si="38"/>
        <v>74660</v>
      </c>
      <c r="EU18" s="467">
        <f t="shared" si="39"/>
        <v>2491198</v>
      </c>
      <c r="EW18" s="467">
        <v>433911</v>
      </c>
      <c r="EX18" s="467">
        <v>368213</v>
      </c>
      <c r="EY18" s="467">
        <v>284346</v>
      </c>
      <c r="EZ18" s="467">
        <v>2491198</v>
      </c>
      <c r="FB18" s="467">
        <v>83164</v>
      </c>
      <c r="FC18" s="467">
        <v>157959</v>
      </c>
      <c r="FD18" s="467">
        <v>130262</v>
      </c>
      <c r="FE18" s="467">
        <f t="shared" si="40"/>
        <v>2491198</v>
      </c>
      <c r="FG18" s="467">
        <v>295795</v>
      </c>
      <c r="FH18" s="467">
        <v>282397</v>
      </c>
      <c r="FI18" s="467">
        <v>209686</v>
      </c>
      <c r="FJ18" s="467">
        <v>2491198</v>
      </c>
      <c r="FL18" s="464">
        <f t="shared" si="41"/>
        <v>100855</v>
      </c>
      <c r="FM18" s="465">
        <f t="shared" si="41"/>
        <v>52557</v>
      </c>
      <c r="FN18" s="464">
        <f t="shared" si="41"/>
        <v>30330</v>
      </c>
      <c r="FO18" s="464">
        <v>1693053</v>
      </c>
      <c r="FQ18" s="464">
        <v>212631</v>
      </c>
      <c r="FR18" s="465">
        <v>124438</v>
      </c>
      <c r="FS18" s="464">
        <v>79424</v>
      </c>
      <c r="FT18" s="464">
        <v>1693053</v>
      </c>
      <c r="FV18" s="464">
        <v>111776</v>
      </c>
      <c r="FW18" s="465">
        <v>71881</v>
      </c>
      <c r="FX18" s="464">
        <v>49094</v>
      </c>
      <c r="FY18" s="464">
        <v>1750751</v>
      </c>
      <c r="FZ18" s="5"/>
      <c r="GA18" s="144"/>
      <c r="GB18" s="346"/>
      <c r="GC18" s="144"/>
      <c r="GD18" s="144"/>
      <c r="GF18" s="144"/>
      <c r="GG18" s="346"/>
      <c r="GH18" s="144"/>
      <c r="GI18" s="144"/>
      <c r="GK18" s="144"/>
      <c r="GL18" s="346"/>
      <c r="GM18" s="144"/>
      <c r="GN18" s="144"/>
      <c r="GP18" s="144"/>
      <c r="GQ18" s="346"/>
      <c r="GR18" s="144"/>
      <c r="GS18" s="144"/>
      <c r="GV18" s="144"/>
      <c r="GW18" s="346"/>
      <c r="GX18" s="144"/>
      <c r="GY18" s="144"/>
      <c r="HA18" s="144"/>
      <c r="HB18" s="346"/>
      <c r="HC18" s="144"/>
      <c r="HD18" s="144"/>
      <c r="HF18" s="144"/>
      <c r="HG18" s="346"/>
      <c r="HH18" s="144"/>
      <c r="HI18" s="144"/>
      <c r="HK18" s="144"/>
      <c r="HL18" s="346"/>
      <c r="HM18" s="144"/>
      <c r="HN18" s="144"/>
      <c r="HP18" s="341"/>
      <c r="HQ18" s="342"/>
      <c r="HR18" s="341"/>
      <c r="HS18" s="341"/>
      <c r="HU18" s="144"/>
      <c r="HV18" s="346"/>
      <c r="HW18" s="144"/>
      <c r="HX18" s="144"/>
      <c r="HZ18" s="144"/>
      <c r="IA18" s="346"/>
      <c r="IB18" s="144"/>
      <c r="IC18" s="144"/>
      <c r="IE18" s="156"/>
      <c r="IF18" s="183"/>
      <c r="IG18" s="156"/>
      <c r="IH18" s="156"/>
      <c r="IJ18" s="156"/>
      <c r="IK18" s="183"/>
      <c r="IL18" s="156"/>
      <c r="IM18" s="156"/>
      <c r="IO18" s="156"/>
      <c r="IP18" s="183"/>
      <c r="IQ18" s="156"/>
      <c r="IR18" s="156"/>
      <c r="IT18" s="156"/>
      <c r="IU18" s="156"/>
      <c r="IV18" s="156"/>
      <c r="IW18" s="156"/>
      <c r="IY18" s="156"/>
      <c r="IZ18" s="183"/>
      <c r="JA18" s="156"/>
      <c r="JB18" s="156"/>
      <c r="JC18" s="157"/>
      <c r="JD18" s="156"/>
      <c r="JE18" s="156"/>
      <c r="JF18" s="156"/>
      <c r="JG18" s="156"/>
      <c r="JH18" s="156"/>
      <c r="JI18" s="156"/>
      <c r="JJ18" s="156"/>
      <c r="JK18" s="156"/>
      <c r="JL18" s="156"/>
      <c r="JM18" s="157"/>
      <c r="JN18" s="156"/>
      <c r="JO18" s="156"/>
      <c r="JP18" s="156"/>
      <c r="JQ18" s="156"/>
      <c r="JR18" s="157"/>
      <c r="JS18" s="156"/>
      <c r="JT18" s="156"/>
      <c r="JU18" s="156"/>
      <c r="JV18" s="156"/>
      <c r="JW18" s="157"/>
      <c r="JX18" s="156"/>
      <c r="JY18" s="156"/>
      <c r="JZ18" s="156"/>
      <c r="KA18" s="156"/>
      <c r="KB18" s="157"/>
      <c r="KC18" s="156"/>
      <c r="KD18" s="156"/>
      <c r="KE18" s="156"/>
      <c r="KF18" s="156"/>
      <c r="KG18" s="157"/>
      <c r="KH18" s="156"/>
      <c r="KI18" s="156"/>
      <c r="KJ18" s="156"/>
      <c r="KK18" s="156"/>
      <c r="KL18" s="157"/>
      <c r="KM18" s="156"/>
      <c r="KN18" s="156"/>
      <c r="KO18" s="156"/>
      <c r="KP18" s="156"/>
      <c r="KQ18" s="157"/>
      <c r="KR18" s="156"/>
      <c r="KS18" s="156"/>
      <c r="KT18" s="156"/>
      <c r="KU18" s="156"/>
      <c r="KV18" s="157"/>
      <c r="KW18" s="156"/>
      <c r="KX18" s="156"/>
      <c r="KY18" s="156"/>
      <c r="KZ18" s="156"/>
      <c r="LA18" s="157"/>
      <c r="LB18" s="156"/>
      <c r="LC18" s="156"/>
      <c r="LD18" s="156"/>
      <c r="LE18" s="156"/>
      <c r="LF18" s="157"/>
      <c r="LG18" s="156"/>
      <c r="LH18" s="156"/>
      <c r="LI18" s="156"/>
      <c r="LJ18" s="156"/>
      <c r="LK18" s="157"/>
      <c r="LL18" s="156"/>
      <c r="LM18" s="156"/>
      <c r="LN18" s="156"/>
      <c r="LO18" s="156"/>
      <c r="LP18" s="163"/>
      <c r="LQ18" s="156"/>
      <c r="LR18" s="156"/>
      <c r="LS18" s="156"/>
      <c r="LT18" s="156"/>
      <c r="LU18" s="163"/>
      <c r="LV18" s="156"/>
      <c r="LW18" s="156"/>
      <c r="LX18" s="156"/>
      <c r="LY18" s="156"/>
      <c r="LZ18" s="157"/>
      <c r="MA18" s="156"/>
      <c r="MB18" s="156"/>
      <c r="MC18" s="156"/>
      <c r="MD18" s="156"/>
      <c r="ME18" s="157"/>
      <c r="MF18" s="156"/>
      <c r="MG18" s="156"/>
      <c r="MH18" s="156"/>
      <c r="MI18" s="156"/>
      <c r="MJ18" s="157"/>
      <c r="MK18" s="156"/>
      <c r="ML18" s="156"/>
      <c r="MM18" s="156"/>
      <c r="MN18" s="156"/>
      <c r="MO18" s="157"/>
      <c r="MP18" s="156"/>
      <c r="MQ18" s="156"/>
      <c r="MR18" s="156"/>
      <c r="MS18" s="156"/>
      <c r="MT18" s="157"/>
      <c r="MU18" s="157"/>
      <c r="MV18" s="157"/>
      <c r="MW18" s="157"/>
      <c r="MX18" s="157"/>
      <c r="MY18" s="157"/>
      <c r="MZ18" s="157"/>
      <c r="NA18" s="157"/>
      <c r="NB18" s="157"/>
      <c r="NC18" s="157"/>
      <c r="ND18" s="157"/>
      <c r="NE18" s="157"/>
      <c r="NF18" s="157"/>
      <c r="NG18" s="157"/>
      <c r="NH18" s="157"/>
      <c r="NI18" s="157"/>
      <c r="NJ18" s="157"/>
      <c r="NK18" s="157"/>
      <c r="NL18" s="157"/>
      <c r="NM18" s="157"/>
      <c r="NN18" s="157"/>
      <c r="NO18" s="157"/>
      <c r="NP18" s="157"/>
      <c r="NQ18" s="157"/>
      <c r="NR18" s="157"/>
      <c r="NS18" s="157"/>
      <c r="NT18" s="157"/>
      <c r="NU18" s="157"/>
      <c r="NV18" s="157"/>
      <c r="NW18" s="157"/>
      <c r="NX18" s="157"/>
      <c r="NY18" s="157"/>
      <c r="NZ18" s="157"/>
      <c r="OA18" s="157"/>
      <c r="OB18" s="157"/>
      <c r="OC18" s="157"/>
      <c r="OD18" s="157"/>
      <c r="OE18" s="157"/>
      <c r="OF18" s="157"/>
      <c r="OG18" s="157"/>
      <c r="OH18" s="157"/>
      <c r="OI18" s="157"/>
      <c r="OJ18" s="157"/>
      <c r="OK18" s="157"/>
      <c r="OL18" s="157"/>
      <c r="OM18" s="157"/>
      <c r="ON18" s="157"/>
      <c r="OO18" s="157"/>
      <c r="OP18" s="157"/>
      <c r="OQ18" s="157"/>
      <c r="OR18" s="157"/>
      <c r="OS18" s="157"/>
      <c r="OT18" s="157"/>
      <c r="OU18" s="157"/>
      <c r="OV18" s="157"/>
      <c r="OW18" s="157"/>
      <c r="OX18" s="157"/>
      <c r="OY18" s="157"/>
      <c r="OZ18" s="157"/>
      <c r="PA18" s="157"/>
    </row>
    <row r="19" spans="1:417" ht="15" customHeight="1">
      <c r="A19" s="59" t="s">
        <v>78</v>
      </c>
      <c r="C19" s="610"/>
      <c r="D19" s="610"/>
      <c r="E19" s="610"/>
      <c r="F19" s="610"/>
      <c r="H19" s="610"/>
      <c r="I19" s="610"/>
      <c r="J19" s="610"/>
      <c r="K19" s="610"/>
      <c r="M19" s="610"/>
      <c r="N19" s="610"/>
      <c r="O19" s="610"/>
      <c r="P19" s="610"/>
      <c r="R19" s="610">
        <f>([5]segmenty!$E$47)*1000</f>
        <v>8961000</v>
      </c>
      <c r="S19" s="610">
        <f>([5]segmenty!$E$72)*1000</f>
        <v>3426000</v>
      </c>
      <c r="T19" s="610">
        <f>([5]segmenty!$E$69)*1000</f>
        <v>2442000</v>
      </c>
      <c r="U19" s="610">
        <f>([5]segmenty!$E$63)*1000</f>
        <v>24194000</v>
      </c>
      <c r="W19" s="610">
        <f>('[5]segmenty 3 m-ce'!$E$100)*1000</f>
        <v>2845000</v>
      </c>
      <c r="X19" s="610">
        <f>('[5]segmenty 3 m-ce'!$E$115)*1000</f>
        <v>1098000</v>
      </c>
      <c r="Y19" s="610">
        <f>('[5]segmenty 3 m-ce'!$E$112)*1000</f>
        <v>763000</v>
      </c>
      <c r="Z19" s="610">
        <f t="shared" si="43"/>
        <v>24194000</v>
      </c>
      <c r="AB19" s="610">
        <v>6116000</v>
      </c>
      <c r="AC19" s="610">
        <v>2328000</v>
      </c>
      <c r="AD19" s="610">
        <v>1679000</v>
      </c>
      <c r="AE19" s="610">
        <v>24194000</v>
      </c>
      <c r="AG19" s="610">
        <v>2789000</v>
      </c>
      <c r="AH19" s="610">
        <v>1042000</v>
      </c>
      <c r="AI19" s="610">
        <v>712000</v>
      </c>
      <c r="AJ19" s="610">
        <f t="shared" si="44"/>
        <v>24194000</v>
      </c>
      <c r="AL19" s="610">
        <f>[6]segmenty!$D$47*1000</f>
        <v>3327000</v>
      </c>
      <c r="AM19" s="610">
        <f>[6]segmenty!$D$72*1000</f>
        <v>1286000</v>
      </c>
      <c r="AN19" s="610">
        <f>[6]segmenty!$D$69*1000</f>
        <v>968000</v>
      </c>
      <c r="AO19" s="610">
        <f>[6]segmenty!$D$63*1000</f>
        <v>24189000</v>
      </c>
      <c r="AQ19" s="610">
        <f>([7]segmenty!$D$48)*1000</f>
        <v>7611000</v>
      </c>
      <c r="AR19" s="610">
        <f>([7]segmenty!$D$73)*1000</f>
        <v>2939000</v>
      </c>
      <c r="AS19" s="610">
        <f>([7]segmenty!$D$70)*1000</f>
        <v>1679000</v>
      </c>
      <c r="AT19" s="610">
        <f>([7]segmenty!$D$64)*1000</f>
        <v>22174000</v>
      </c>
      <c r="AV19" s="610">
        <f t="shared" si="45"/>
        <v>1880000</v>
      </c>
      <c r="AW19" s="610">
        <f t="shared" si="45"/>
        <v>590000</v>
      </c>
      <c r="AX19" s="610">
        <f t="shared" si="45"/>
        <v>264000</v>
      </c>
      <c r="AY19" s="610">
        <f t="shared" si="46"/>
        <v>22174000</v>
      </c>
      <c r="BA19" s="610">
        <f>([8]segmenty!$D$48)*1000</f>
        <v>5731000</v>
      </c>
      <c r="BB19" s="610">
        <f>([8]segmenty!$D$73)*1000</f>
        <v>2349000</v>
      </c>
      <c r="BC19" s="610">
        <f>([8]segmenty!$D$70)*1000</f>
        <v>1415000</v>
      </c>
      <c r="BD19" s="610">
        <f>([8]segmenty!$D$64)*1000</f>
        <v>22174000</v>
      </c>
      <c r="BF19" s="610">
        <f>('[8]segmenty 3 m-ce PREZ'!$D$39)*1000</f>
        <v>1812000</v>
      </c>
      <c r="BG19" s="610">
        <f>('[8]segmenty 3 m-ce PREZ'!$D$46)*1000</f>
        <v>640000</v>
      </c>
      <c r="BH19" s="610">
        <f>('[8]segmenty 3 m-ce PREZ'!$D$42)*1000</f>
        <v>323000</v>
      </c>
      <c r="BI19" s="610">
        <f t="shared" si="47"/>
        <v>22174000</v>
      </c>
      <c r="BK19" s="610">
        <f>([9]segmenty!$D$48)*1000</f>
        <v>3919000</v>
      </c>
      <c r="BL19" s="610">
        <f>([9]segmenty!$D$72)*1000</f>
        <v>1709000</v>
      </c>
      <c r="BM19" s="610">
        <f>([9]segmenty!$D$69)*1000</f>
        <v>1092000</v>
      </c>
      <c r="BN19" s="610">
        <f>([9]segmenty!$D$63)*1000</f>
        <v>22174000</v>
      </c>
      <c r="BP19" s="610">
        <f>('[9]segmenty 3 m-ce'!$D$101)*1000</f>
        <v>1896000</v>
      </c>
      <c r="BQ19" s="610">
        <f>('[9]segmenty 3 m-ce'!$D$115)*1000</f>
        <v>845000</v>
      </c>
      <c r="BR19" s="610">
        <f>('[9]segmenty 3 m-ce'!$D$112)*1000</f>
        <v>531000</v>
      </c>
      <c r="BS19" s="610">
        <f t="shared" si="48"/>
        <v>22174000</v>
      </c>
      <c r="BU19" s="610">
        <f>[10]segmenty!$D$48*1000</f>
        <v>2023000</v>
      </c>
      <c r="BV19" s="610">
        <f>[10]segmenty!$D$71*1000</f>
        <v>864000</v>
      </c>
      <c r="BW19" s="610">
        <f>[10]segmenty!$D$69*1000</f>
        <v>561000</v>
      </c>
      <c r="BX19" s="610">
        <f>[10]segmenty!$D$63*1000</f>
        <v>22174000</v>
      </c>
      <c r="BZ19" s="610">
        <f t="shared" si="49"/>
        <v>1838000</v>
      </c>
      <c r="CA19" s="610">
        <f t="shared" si="49"/>
        <v>717000</v>
      </c>
      <c r="CB19" s="610">
        <f t="shared" si="49"/>
        <v>410000</v>
      </c>
      <c r="CC19" s="610">
        <f t="shared" si="50"/>
        <v>21117000</v>
      </c>
      <c r="CE19" s="610">
        <v>7099000</v>
      </c>
      <c r="CF19" s="610">
        <v>2967000</v>
      </c>
      <c r="CG19" s="610">
        <v>1767000</v>
      </c>
      <c r="CH19" s="610">
        <v>21117000</v>
      </c>
      <c r="CJ19" s="467">
        <v>1742000</v>
      </c>
      <c r="CK19" s="467">
        <v>731000</v>
      </c>
      <c r="CL19" s="467">
        <v>433000</v>
      </c>
      <c r="CM19" s="467">
        <f t="shared" si="24"/>
        <v>21117000</v>
      </c>
      <c r="CO19" s="467">
        <v>5261000</v>
      </c>
      <c r="CP19" s="467">
        <v>2250000</v>
      </c>
      <c r="CQ19" s="467">
        <v>1357000</v>
      </c>
      <c r="CR19" s="467">
        <v>21117000</v>
      </c>
      <c r="CT19" s="467">
        <f t="shared" si="25"/>
        <v>1713000</v>
      </c>
      <c r="CU19" s="467">
        <f t="shared" si="26"/>
        <v>778000</v>
      </c>
      <c r="CV19" s="467">
        <f t="shared" si="27"/>
        <v>479000</v>
      </c>
      <c r="CW19" s="467">
        <v>21117000</v>
      </c>
      <c r="CY19" s="467">
        <v>3519000</v>
      </c>
      <c r="CZ19" s="467">
        <v>1519000</v>
      </c>
      <c r="DA19" s="467">
        <v>924000</v>
      </c>
      <c r="DB19" s="467">
        <v>21117000</v>
      </c>
      <c r="DD19" s="467">
        <v>1806000</v>
      </c>
      <c r="DE19" s="467">
        <v>741000</v>
      </c>
      <c r="DF19" s="467">
        <v>445000</v>
      </c>
      <c r="DG19" s="467">
        <v>21117000</v>
      </c>
      <c r="DI19" s="467">
        <f t="shared" si="28"/>
        <v>1787223</v>
      </c>
      <c r="DJ19" s="467">
        <f t="shared" si="29"/>
        <v>606124</v>
      </c>
      <c r="DK19" s="467">
        <f t="shared" si="30"/>
        <v>305504</v>
      </c>
      <c r="DL19" s="467">
        <f t="shared" si="31"/>
        <v>20079000</v>
      </c>
      <c r="DN19" s="467">
        <v>6866000</v>
      </c>
      <c r="DO19" s="467">
        <v>3023000</v>
      </c>
      <c r="DP19" s="467">
        <v>1857000</v>
      </c>
      <c r="DQ19" s="467">
        <v>20079000</v>
      </c>
      <c r="DS19" s="467">
        <f t="shared" si="32"/>
        <v>1720223</v>
      </c>
      <c r="DT19" s="467">
        <f t="shared" si="32"/>
        <v>728175</v>
      </c>
      <c r="DU19" s="467">
        <f t="shared" si="32"/>
        <v>436050</v>
      </c>
      <c r="DV19" s="467">
        <f t="shared" si="33"/>
        <v>20079215</v>
      </c>
      <c r="DX19" s="467">
        <v>5078777</v>
      </c>
      <c r="DY19" s="467">
        <v>2416876</v>
      </c>
      <c r="DZ19" s="467">
        <v>1551496</v>
      </c>
      <c r="EA19" s="467">
        <v>20079215</v>
      </c>
      <c r="EC19" s="467">
        <f t="shared" si="34"/>
        <v>1569529</v>
      </c>
      <c r="ED19" s="467">
        <f t="shared" si="34"/>
        <v>1005158</v>
      </c>
      <c r="EE19" s="467">
        <f t="shared" si="34"/>
        <v>715011</v>
      </c>
      <c r="EF19" s="467">
        <f t="shared" si="35"/>
        <v>20079215</v>
      </c>
      <c r="EH19" s="467">
        <v>3358554</v>
      </c>
      <c r="EI19" s="467">
        <v>1688701</v>
      </c>
      <c r="EJ19" s="467">
        <v>1115446</v>
      </c>
      <c r="EK19" s="467">
        <v>20079215</v>
      </c>
      <c r="EM19" s="467">
        <v>1789025</v>
      </c>
      <c r="EN19" s="467">
        <v>683543</v>
      </c>
      <c r="EO19" s="467">
        <v>400435</v>
      </c>
      <c r="EP19" s="467">
        <v>20079215</v>
      </c>
      <c r="ER19" s="467">
        <f t="shared" si="36"/>
        <v>1696579</v>
      </c>
      <c r="ES19" s="467">
        <f t="shared" si="37"/>
        <v>585541</v>
      </c>
      <c r="ET19" s="467">
        <f t="shared" si="38"/>
        <v>292644</v>
      </c>
      <c r="EU19" s="467">
        <f t="shared" si="39"/>
        <v>19176164</v>
      </c>
      <c r="EW19" s="467">
        <v>6594864</v>
      </c>
      <c r="EX19" s="467">
        <v>2605808</v>
      </c>
      <c r="EY19" s="467">
        <v>1443741</v>
      </c>
      <c r="EZ19" s="467">
        <v>19176164</v>
      </c>
      <c r="FB19" s="467">
        <v>1622943</v>
      </c>
      <c r="FC19" s="467">
        <v>662963</v>
      </c>
      <c r="FD19" s="467">
        <v>373021</v>
      </c>
      <c r="FE19" s="467">
        <f t="shared" si="40"/>
        <v>19176164</v>
      </c>
      <c r="FG19" s="467">
        <v>4898285</v>
      </c>
      <c r="FH19" s="467">
        <v>2020267</v>
      </c>
      <c r="FI19" s="467">
        <v>1151097</v>
      </c>
      <c r="FJ19" s="467">
        <v>19176164</v>
      </c>
      <c r="FL19" s="464">
        <f t="shared" si="41"/>
        <v>1594121</v>
      </c>
      <c r="FM19" s="465">
        <f t="shared" si="41"/>
        <v>656334</v>
      </c>
      <c r="FN19" s="464">
        <f t="shared" si="41"/>
        <v>374556</v>
      </c>
      <c r="FO19" s="464">
        <v>19176164</v>
      </c>
      <c r="FQ19" s="464">
        <v>3275342</v>
      </c>
      <c r="FR19" s="465">
        <v>1357304</v>
      </c>
      <c r="FS19" s="464">
        <v>778076</v>
      </c>
      <c r="FT19" s="464">
        <v>19176164</v>
      </c>
      <c r="FV19" s="464">
        <v>1681221</v>
      </c>
      <c r="FW19" s="465">
        <v>700970</v>
      </c>
      <c r="FX19" s="464">
        <v>403520</v>
      </c>
      <c r="FY19" s="464">
        <v>19176164</v>
      </c>
      <c r="FZ19" s="5"/>
      <c r="GA19" s="144">
        <v>6060201</v>
      </c>
      <c r="GB19" s="346">
        <v>2465537</v>
      </c>
      <c r="GC19" s="144">
        <v>1391155</v>
      </c>
      <c r="GD19" s="144">
        <v>17923661</v>
      </c>
      <c r="GF19" s="144">
        <v>1573539</v>
      </c>
      <c r="GG19" s="346">
        <v>549667</v>
      </c>
      <c r="GH19" s="144">
        <v>269983</v>
      </c>
      <c r="GI19" s="144">
        <v>17923661</v>
      </c>
      <c r="GK19" s="144">
        <v>4486662</v>
      </c>
      <c r="GL19" s="346">
        <v>1915870</v>
      </c>
      <c r="GM19" s="144">
        <v>1121172</v>
      </c>
      <c r="GN19" s="144">
        <v>17923661</v>
      </c>
      <c r="GP19" s="144">
        <v>1462463</v>
      </c>
      <c r="GQ19" s="346">
        <v>608204</v>
      </c>
      <c r="GR19" s="144">
        <v>338355</v>
      </c>
      <c r="GS19" s="144">
        <v>17923661</v>
      </c>
      <c r="GV19" s="144">
        <v>3024199</v>
      </c>
      <c r="GW19" s="346">
        <v>1307666</v>
      </c>
      <c r="GX19" s="144">
        <v>782817</v>
      </c>
      <c r="GY19" s="144">
        <v>17923661</v>
      </c>
      <c r="HA19" s="144">
        <v>1453332</v>
      </c>
      <c r="HB19" s="346">
        <v>679813</v>
      </c>
      <c r="HC19" s="144">
        <v>414167</v>
      </c>
      <c r="HD19" s="144">
        <v>17923661</v>
      </c>
      <c r="HF19" s="144">
        <v>1570867</v>
      </c>
      <c r="HG19" s="346">
        <v>627853</v>
      </c>
      <c r="HH19" s="144">
        <v>368650</v>
      </c>
      <c r="HI19" s="144">
        <v>17923661</v>
      </c>
      <c r="HK19" s="144">
        <v>6719943</v>
      </c>
      <c r="HL19" s="346">
        <v>2282685</v>
      </c>
      <c r="HM19" s="144">
        <v>1210925</v>
      </c>
      <c r="HN19" s="144">
        <v>17409160</v>
      </c>
      <c r="HP19" s="341">
        <v>1733033</v>
      </c>
      <c r="HQ19" s="342">
        <v>488087</v>
      </c>
      <c r="HR19" s="341">
        <v>212156</v>
      </c>
      <c r="HS19" s="341">
        <v>17409160</v>
      </c>
      <c r="HU19" s="144">
        <v>4986910</v>
      </c>
      <c r="HV19" s="346">
        <v>1794598</v>
      </c>
      <c r="HW19" s="144">
        <v>998769</v>
      </c>
      <c r="HX19" s="144">
        <v>17409160</v>
      </c>
      <c r="HZ19" s="144">
        <v>1618916</v>
      </c>
      <c r="IA19" s="346">
        <v>591288</v>
      </c>
      <c r="IB19" s="144">
        <v>321449</v>
      </c>
      <c r="IC19" s="144">
        <v>17409160</v>
      </c>
      <c r="IE19" s="156">
        <v>3367994</v>
      </c>
      <c r="IF19" s="183">
        <v>1203310</v>
      </c>
      <c r="IG19" s="156">
        <v>677320</v>
      </c>
      <c r="IH19" s="156">
        <v>17409160</v>
      </c>
      <c r="IJ19" s="156">
        <v>331709</v>
      </c>
      <c r="IK19" s="183">
        <v>596299</v>
      </c>
      <c r="IL19" s="156">
        <v>331709</v>
      </c>
      <c r="IM19" s="156">
        <v>17409160</v>
      </c>
      <c r="IO19" s="156">
        <v>1733421</v>
      </c>
      <c r="IP19" s="183">
        <v>607011</v>
      </c>
      <c r="IQ19" s="156">
        <v>345611</v>
      </c>
      <c r="IR19" s="156">
        <v>17409160</v>
      </c>
      <c r="IT19" s="156">
        <v>6310216</v>
      </c>
      <c r="IU19" s="156">
        <v>2394812</v>
      </c>
      <c r="IV19" s="156">
        <v>1363236</v>
      </c>
      <c r="IW19" s="156">
        <v>16761938</v>
      </c>
      <c r="IY19" s="156">
        <v>1634118</v>
      </c>
      <c r="IZ19" s="183">
        <v>685152</v>
      </c>
      <c r="JA19" s="156">
        <v>416722</v>
      </c>
      <c r="JB19" s="156">
        <v>16761938</v>
      </c>
      <c r="JC19" s="157"/>
      <c r="JD19" s="156">
        <v>4676098</v>
      </c>
      <c r="JE19" s="156">
        <v>1709660</v>
      </c>
      <c r="JF19" s="156">
        <v>946514</v>
      </c>
      <c r="JG19" s="156">
        <v>16761938</v>
      </c>
      <c r="JH19" s="156"/>
      <c r="JI19" s="156">
        <v>1531592</v>
      </c>
      <c r="JJ19" s="156">
        <v>562063</v>
      </c>
      <c r="JK19" s="156">
        <v>302990</v>
      </c>
      <c r="JL19" s="156">
        <v>16761938</v>
      </c>
      <c r="JM19" s="157"/>
      <c r="JN19" s="156">
        <v>3144506</v>
      </c>
      <c r="JO19" s="156">
        <v>1147597</v>
      </c>
      <c r="JP19" s="156">
        <v>643524</v>
      </c>
      <c r="JQ19" s="156">
        <v>16761938</v>
      </c>
      <c r="JR19" s="157"/>
      <c r="JS19" s="156">
        <f t="shared" si="42"/>
        <v>1528119</v>
      </c>
      <c r="JT19" s="156">
        <f t="shared" si="42"/>
        <v>604338</v>
      </c>
      <c r="JU19" s="156">
        <f t="shared" si="42"/>
        <v>351932</v>
      </c>
      <c r="JV19" s="156">
        <f>KA19</f>
        <v>16761938</v>
      </c>
      <c r="JW19" s="157"/>
      <c r="JX19" s="156">
        <v>1616387</v>
      </c>
      <c r="JY19" s="156">
        <v>543259</v>
      </c>
      <c r="JZ19" s="156">
        <v>291592</v>
      </c>
      <c r="KA19" s="156">
        <v>16761938</v>
      </c>
      <c r="KB19" s="157"/>
      <c r="KC19" s="156">
        <v>6450274</v>
      </c>
      <c r="KD19" s="156">
        <v>2372129</v>
      </c>
      <c r="KE19" s="156">
        <v>1371577</v>
      </c>
      <c r="KF19" s="156">
        <v>15974893</v>
      </c>
      <c r="KG19" s="157"/>
      <c r="KH19" s="156">
        <v>1657399</v>
      </c>
      <c r="KI19" s="156">
        <v>532836</v>
      </c>
      <c r="KJ19" s="156">
        <v>264854</v>
      </c>
      <c r="KK19" s="156">
        <v>15974893</v>
      </c>
      <c r="KL19" s="157"/>
      <c r="KM19" s="156">
        <v>4792875</v>
      </c>
      <c r="KN19" s="156">
        <v>1839293</v>
      </c>
      <c r="KO19" s="156">
        <v>1106723</v>
      </c>
      <c r="KP19" s="156">
        <v>15974893</v>
      </c>
      <c r="KQ19" s="157"/>
      <c r="KR19" s="156">
        <v>1564518</v>
      </c>
      <c r="KS19" s="156">
        <v>596633</v>
      </c>
      <c r="KT19" s="156">
        <v>348307</v>
      </c>
      <c r="KU19" s="156">
        <v>15974893</v>
      </c>
      <c r="KV19" s="157"/>
      <c r="KW19" s="156">
        <v>3228357</v>
      </c>
      <c r="KX19" s="156">
        <v>1242660</v>
      </c>
      <c r="KY19" s="156">
        <v>758416</v>
      </c>
      <c r="KZ19" s="156">
        <v>15974893</v>
      </c>
      <c r="LA19" s="157"/>
      <c r="LB19" s="156">
        <v>1585385</v>
      </c>
      <c r="LC19" s="156">
        <v>696000</v>
      </c>
      <c r="LD19" s="156">
        <v>453363</v>
      </c>
      <c r="LE19" s="156">
        <v>15974893</v>
      </c>
      <c r="LF19" s="157"/>
      <c r="LG19" s="156">
        <v>1642972</v>
      </c>
      <c r="LH19" s="156">
        <v>546660</v>
      </c>
      <c r="LI19" s="156">
        <v>305053</v>
      </c>
      <c r="LJ19" s="156">
        <v>15974893</v>
      </c>
      <c r="LK19" s="157"/>
      <c r="LL19" s="156">
        <v>6074646</v>
      </c>
      <c r="LM19" s="156">
        <v>2172288</v>
      </c>
      <c r="LN19" s="156">
        <v>1209344</v>
      </c>
      <c r="LO19" s="156">
        <v>15012125</v>
      </c>
      <c r="LP19" s="163"/>
      <c r="LQ19" s="156">
        <v>1545835</v>
      </c>
      <c r="LR19" s="156">
        <v>394396</v>
      </c>
      <c r="LS19" s="156">
        <v>138507</v>
      </c>
      <c r="LT19" s="156">
        <v>15012125</v>
      </c>
      <c r="LU19" s="163"/>
      <c r="LV19" s="156">
        <v>4528811</v>
      </c>
      <c r="LW19" s="156">
        <v>1777892</v>
      </c>
      <c r="LX19" s="156">
        <v>1070837</v>
      </c>
      <c r="LY19" s="156">
        <v>15012125</v>
      </c>
      <c r="LZ19" s="157"/>
      <c r="MA19" s="156">
        <v>1479860</v>
      </c>
      <c r="MB19" s="156">
        <v>608152</v>
      </c>
      <c r="MC19" s="156">
        <v>370825</v>
      </c>
      <c r="MD19" s="156">
        <v>15012125</v>
      </c>
      <c r="ME19" s="157"/>
      <c r="MF19" s="156">
        <v>3048951</v>
      </c>
      <c r="MG19" s="156">
        <v>1169688</v>
      </c>
      <c r="MH19" s="156">
        <v>700012</v>
      </c>
      <c r="MI19" s="156">
        <v>15012125</v>
      </c>
      <c r="MJ19" s="157"/>
      <c r="MK19" s="156">
        <v>1490614</v>
      </c>
      <c r="ML19" s="156">
        <v>612000</v>
      </c>
      <c r="MM19" s="156">
        <v>376007</v>
      </c>
      <c r="MN19" s="156">
        <v>15012125</v>
      </c>
      <c r="MO19" s="157"/>
      <c r="MP19" s="156">
        <v>1558337</v>
      </c>
      <c r="MQ19" s="156">
        <v>557688</v>
      </c>
      <c r="MR19" s="156">
        <v>324005</v>
      </c>
      <c r="MS19" s="156">
        <v>15012125</v>
      </c>
      <c r="MT19" s="157"/>
      <c r="MU19" s="178" t="s">
        <v>372</v>
      </c>
      <c r="MV19" s="179" t="s">
        <v>180</v>
      </c>
      <c r="MW19" s="160" t="s">
        <v>91</v>
      </c>
      <c r="MX19" s="160" t="s">
        <v>92</v>
      </c>
      <c r="MY19" s="160" t="s">
        <v>181</v>
      </c>
      <c r="MZ19" s="157"/>
      <c r="NA19" s="179" t="s">
        <v>370</v>
      </c>
      <c r="NB19" s="160" t="s">
        <v>98</v>
      </c>
      <c r="NC19" s="160" t="s">
        <v>103</v>
      </c>
      <c r="ND19" s="160" t="s">
        <v>192</v>
      </c>
      <c r="NE19" s="157"/>
      <c r="NF19" s="160" t="s">
        <v>194</v>
      </c>
      <c r="NG19" s="160" t="s">
        <v>101</v>
      </c>
      <c r="NH19" s="160" t="s">
        <v>102</v>
      </c>
      <c r="NI19" s="179" t="s">
        <v>197</v>
      </c>
      <c r="NJ19" s="157"/>
      <c r="NK19" s="157"/>
      <c r="NL19" s="157"/>
      <c r="NM19" s="157"/>
      <c r="NN19" s="157"/>
      <c r="NO19" s="157"/>
      <c r="NP19" s="157"/>
      <c r="NQ19" s="157"/>
      <c r="NR19" s="157"/>
      <c r="NS19" s="157"/>
      <c r="NT19" s="157"/>
      <c r="NU19" s="157"/>
      <c r="NV19" s="157"/>
      <c r="NW19" s="157"/>
      <c r="NX19" s="157"/>
      <c r="NY19" s="157"/>
      <c r="NZ19" s="157"/>
      <c r="OA19" s="157"/>
      <c r="OB19" s="157"/>
      <c r="OC19" s="157"/>
      <c r="OD19" s="157"/>
      <c r="OE19" s="157"/>
      <c r="OF19" s="157"/>
      <c r="OG19" s="157"/>
      <c r="OH19" s="157"/>
      <c r="OI19" s="157"/>
      <c r="OJ19" s="157"/>
      <c r="OK19" s="157"/>
      <c r="OL19" s="157"/>
      <c r="OM19" s="157"/>
      <c r="ON19" s="157"/>
      <c r="OO19" s="157"/>
      <c r="OP19" s="157"/>
      <c r="OQ19" s="157"/>
      <c r="OR19" s="157"/>
      <c r="OS19" s="157"/>
      <c r="OT19" s="157"/>
      <c r="OU19" s="157"/>
      <c r="OV19" s="157"/>
      <c r="OW19" s="157"/>
      <c r="OX19" s="157"/>
      <c r="OY19" s="157"/>
      <c r="OZ19" s="157"/>
      <c r="PA19" s="157"/>
    </row>
    <row r="20" spans="1:417">
      <c r="A20" s="59" t="s">
        <v>79</v>
      </c>
      <c r="C20" s="610"/>
      <c r="D20" s="610"/>
      <c r="E20" s="610"/>
      <c r="F20" s="610"/>
      <c r="H20" s="610"/>
      <c r="I20" s="610"/>
      <c r="J20" s="610"/>
      <c r="K20" s="610"/>
      <c r="M20" s="610"/>
      <c r="N20" s="610"/>
      <c r="O20" s="610"/>
      <c r="P20" s="610"/>
      <c r="R20" s="610">
        <f>([5]segmenty!$F$47)*1000</f>
        <v>26662000</v>
      </c>
      <c r="S20" s="610">
        <f>([5]segmenty!$F$72)*1000</f>
        <v>452000</v>
      </c>
      <c r="T20" s="610">
        <f>([5]segmenty!$F$69)*1000</f>
        <v>410000</v>
      </c>
      <c r="U20" s="610">
        <f>([5]segmenty!$F$63)*1000</f>
        <v>8581000</v>
      </c>
      <c r="W20" s="610">
        <f>('[5]segmenty 3 m-ce'!$F$100)*1000</f>
        <v>6359000</v>
      </c>
      <c r="X20" s="610">
        <f>('[5]segmenty 3 m-ce'!$F$115)*1000</f>
        <v>-92000</v>
      </c>
      <c r="Y20" s="610">
        <f>('[5]segmenty 3 m-ce'!$F$112)*1000</f>
        <v>-105000</v>
      </c>
      <c r="Z20" s="610">
        <f t="shared" si="43"/>
        <v>8581000</v>
      </c>
      <c r="AB20" s="610">
        <v>20303000</v>
      </c>
      <c r="AC20" s="610">
        <v>544000</v>
      </c>
      <c r="AD20" s="610">
        <v>515000</v>
      </c>
      <c r="AE20" s="610">
        <v>8581000</v>
      </c>
      <c r="AG20" s="610">
        <v>8670000</v>
      </c>
      <c r="AH20" s="610">
        <v>400000</v>
      </c>
      <c r="AI20" s="610">
        <v>384000</v>
      </c>
      <c r="AJ20" s="610">
        <f t="shared" si="44"/>
        <v>8581000</v>
      </c>
      <c r="AL20" s="610">
        <f>[6]segmenty!$E$47*1000</f>
        <v>12232000</v>
      </c>
      <c r="AM20" s="610">
        <f>[6]segmenty!$E$72*1000</f>
        <v>145000</v>
      </c>
      <c r="AN20" s="610">
        <f>[6]segmenty!$E$69*1000</f>
        <v>132000</v>
      </c>
      <c r="AO20" s="610">
        <f>[6]segmenty!$E$63*1000</f>
        <v>8550000</v>
      </c>
      <c r="AQ20" s="610">
        <f>([7]segmenty!$E$48)*1000</f>
        <v>35491000</v>
      </c>
      <c r="AR20" s="610">
        <f>([7]segmenty!$E$73)*1000</f>
        <v>594000</v>
      </c>
      <c r="AS20" s="610">
        <f>([7]segmenty!$E$70)*1000</f>
        <v>550000</v>
      </c>
      <c r="AT20" s="610">
        <f>([7]segmenty!$E$64)*1000</f>
        <v>6701000</v>
      </c>
      <c r="AV20" s="610">
        <f t="shared" si="45"/>
        <v>9180000</v>
      </c>
      <c r="AW20" s="610">
        <f t="shared" si="45"/>
        <v>85000</v>
      </c>
      <c r="AX20" s="610">
        <f t="shared" si="45"/>
        <v>74000</v>
      </c>
      <c r="AY20" s="610">
        <f t="shared" si="46"/>
        <v>6701000</v>
      </c>
      <c r="BA20" s="610">
        <f>([8]segmenty!$E$48)*1000</f>
        <v>26311000</v>
      </c>
      <c r="BB20" s="610">
        <f>([8]segmenty!$E$73)*1000</f>
        <v>509000</v>
      </c>
      <c r="BC20" s="610">
        <f>([8]segmenty!$E$70)*1000</f>
        <v>476000</v>
      </c>
      <c r="BD20" s="610">
        <f>([8]segmenty!$E$64)*1000</f>
        <v>6701000</v>
      </c>
      <c r="BF20" s="610">
        <f>('[8]segmenty 3 m-ce PREZ'!$E$39)*1000</f>
        <v>8058000</v>
      </c>
      <c r="BG20" s="610">
        <f>('[8]segmenty 3 m-ce PREZ'!$E$46)*1000</f>
        <v>468000</v>
      </c>
      <c r="BH20" s="610">
        <f>('[8]segmenty 3 m-ce PREZ'!$E$42)*1000</f>
        <v>457000</v>
      </c>
      <c r="BI20" s="610">
        <f t="shared" si="47"/>
        <v>6701000</v>
      </c>
      <c r="BK20" s="610">
        <f>([9]segmenty!$E$48)*1000</f>
        <v>18257000</v>
      </c>
      <c r="BL20" s="610">
        <f>([9]segmenty!$E$72)*1000</f>
        <v>41000</v>
      </c>
      <c r="BM20" s="610">
        <f>([9]segmenty!$E$69)*1000</f>
        <v>19000</v>
      </c>
      <c r="BN20" s="610">
        <f>([9]segmenty!$E$63)*1000</f>
        <v>6701000</v>
      </c>
      <c r="BP20" s="610">
        <f>('[9]segmenty 3 m-ce'!$E$101)*1000</f>
        <v>7670000</v>
      </c>
      <c r="BQ20" s="610">
        <f>('[9]segmenty 3 m-ce'!$E$115)*1000</f>
        <v>144000</v>
      </c>
      <c r="BR20" s="610">
        <f>('[9]segmenty 3 m-ce'!$E$112)*1000</f>
        <v>132000</v>
      </c>
      <c r="BS20" s="610">
        <f t="shared" si="48"/>
        <v>6701000</v>
      </c>
      <c r="BU20" s="610">
        <f>[10]segmenty!$E$48*1000</f>
        <v>10587000</v>
      </c>
      <c r="BV20" s="610">
        <f>[10]segmenty!$E$71*1000</f>
        <v>-103000</v>
      </c>
      <c r="BW20" s="610">
        <f>[10]segmenty!$E$69*1000</f>
        <v>-113000</v>
      </c>
      <c r="BX20" s="610">
        <f>[10]segmenty!$E$63*1000</f>
        <v>6701000</v>
      </c>
      <c r="BZ20" s="610">
        <f t="shared" si="49"/>
        <v>7796000</v>
      </c>
      <c r="CA20" s="610">
        <f t="shared" si="49"/>
        <v>-502000</v>
      </c>
      <c r="CB20" s="610">
        <f t="shared" si="49"/>
        <v>-511000</v>
      </c>
      <c r="CC20" s="610">
        <f t="shared" si="50"/>
        <v>4508000</v>
      </c>
      <c r="CE20" s="610">
        <v>24134000</v>
      </c>
      <c r="CF20" s="610">
        <v>-524000</v>
      </c>
      <c r="CG20" s="610">
        <v>-564000</v>
      </c>
      <c r="CH20" s="610">
        <v>4508000</v>
      </c>
      <c r="CJ20" s="467">
        <v>5613000</v>
      </c>
      <c r="CK20" s="467">
        <v>-259000</v>
      </c>
      <c r="CL20" s="467">
        <v>-270000</v>
      </c>
      <c r="CM20" s="467">
        <f t="shared" si="24"/>
        <v>4508000</v>
      </c>
      <c r="CO20" s="467">
        <v>16338000</v>
      </c>
      <c r="CP20" s="467">
        <v>-22000</v>
      </c>
      <c r="CQ20" s="467">
        <v>-53000</v>
      </c>
      <c r="CR20" s="467">
        <v>4508000</v>
      </c>
      <c r="CT20" s="467">
        <f t="shared" si="25"/>
        <v>4645000</v>
      </c>
      <c r="CU20" s="467">
        <f t="shared" si="26"/>
        <v>3000</v>
      </c>
      <c r="CV20" s="467">
        <f t="shared" si="27"/>
        <v>-7000</v>
      </c>
      <c r="CW20" s="467">
        <v>4508000</v>
      </c>
      <c r="CY20" s="467">
        <v>10725000</v>
      </c>
      <c r="CZ20" s="467">
        <v>237000</v>
      </c>
      <c r="DA20" s="467">
        <v>217000</v>
      </c>
      <c r="DB20" s="467">
        <v>4508000</v>
      </c>
      <c r="DD20" s="467">
        <v>6080000</v>
      </c>
      <c r="DE20" s="467">
        <v>234000</v>
      </c>
      <c r="DF20" s="467">
        <v>224000</v>
      </c>
      <c r="DG20" s="467">
        <v>4508000</v>
      </c>
      <c r="DI20" s="467">
        <f t="shared" si="28"/>
        <v>5099406</v>
      </c>
      <c r="DJ20" s="467">
        <f t="shared" si="29"/>
        <v>42457</v>
      </c>
      <c r="DK20" s="467">
        <f t="shared" si="30"/>
        <v>34599</v>
      </c>
      <c r="DL20" s="467">
        <f t="shared" si="31"/>
        <v>4614000</v>
      </c>
      <c r="DN20" s="467">
        <v>17250000</v>
      </c>
      <c r="DO20" s="467">
        <v>683000</v>
      </c>
      <c r="DP20" s="467">
        <v>642000</v>
      </c>
      <c r="DQ20" s="467">
        <v>4614000</v>
      </c>
      <c r="DS20" s="467">
        <f t="shared" si="32"/>
        <v>4136093</v>
      </c>
      <c r="DT20" s="467">
        <f t="shared" si="32"/>
        <v>237639</v>
      </c>
      <c r="DU20" s="467">
        <f t="shared" si="32"/>
        <v>228215</v>
      </c>
      <c r="DV20" s="467">
        <f t="shared" si="33"/>
        <v>4614093</v>
      </c>
      <c r="DX20" s="467">
        <v>12150594</v>
      </c>
      <c r="DY20" s="467">
        <v>640543</v>
      </c>
      <c r="DZ20" s="467">
        <v>607401</v>
      </c>
      <c r="EA20" s="467">
        <v>4614093</v>
      </c>
      <c r="EC20" s="467">
        <f t="shared" si="34"/>
        <v>3783659</v>
      </c>
      <c r="ED20" s="467">
        <f t="shared" si="34"/>
        <v>220472</v>
      </c>
      <c r="EE20" s="467">
        <f t="shared" si="34"/>
        <v>208415</v>
      </c>
      <c r="EF20" s="467">
        <f t="shared" si="35"/>
        <v>4614093</v>
      </c>
      <c r="EH20" s="467">
        <v>8014501</v>
      </c>
      <c r="EI20" s="467">
        <v>402904</v>
      </c>
      <c r="EJ20" s="467">
        <v>379186</v>
      </c>
      <c r="EK20" s="467">
        <v>4614093</v>
      </c>
      <c r="EM20" s="467">
        <v>4230842</v>
      </c>
      <c r="EN20" s="467">
        <v>182432</v>
      </c>
      <c r="EO20" s="467">
        <v>170771</v>
      </c>
      <c r="EP20" s="467">
        <v>4614093</v>
      </c>
      <c r="ER20" s="467">
        <f t="shared" si="36"/>
        <v>4508216</v>
      </c>
      <c r="ES20" s="467">
        <f t="shared" si="37"/>
        <v>-105072</v>
      </c>
      <c r="ET20" s="467">
        <f t="shared" si="38"/>
        <v>-121577</v>
      </c>
      <c r="EU20" s="467">
        <f t="shared" si="39"/>
        <v>4730135</v>
      </c>
      <c r="EW20" s="467">
        <v>14907937</v>
      </c>
      <c r="EX20" s="467">
        <v>428577</v>
      </c>
      <c r="EY20" s="467">
        <v>382185</v>
      </c>
      <c r="EZ20" s="467">
        <v>4730135</v>
      </c>
      <c r="FB20" s="467">
        <v>3474928</v>
      </c>
      <c r="FC20" s="467">
        <v>110407</v>
      </c>
      <c r="FD20" s="467">
        <v>100132</v>
      </c>
      <c r="FE20" s="467">
        <f t="shared" si="40"/>
        <v>4730135</v>
      </c>
      <c r="FG20" s="467">
        <v>10399721</v>
      </c>
      <c r="FH20" s="467">
        <v>533649</v>
      </c>
      <c r="FI20" s="467">
        <v>503762</v>
      </c>
      <c r="FJ20" s="467">
        <v>4730135</v>
      </c>
      <c r="FL20" s="464">
        <f t="shared" si="41"/>
        <v>3013371</v>
      </c>
      <c r="FM20" s="465">
        <f t="shared" si="41"/>
        <v>258311</v>
      </c>
      <c r="FN20" s="464">
        <f t="shared" si="41"/>
        <v>248406</v>
      </c>
      <c r="FO20" s="464">
        <v>4730135</v>
      </c>
      <c r="FQ20" s="464">
        <v>6924793</v>
      </c>
      <c r="FR20" s="465">
        <v>423242</v>
      </c>
      <c r="FS20" s="464">
        <v>403630</v>
      </c>
      <c r="FT20" s="464">
        <v>4730135</v>
      </c>
      <c r="FV20" s="464">
        <v>3911422</v>
      </c>
      <c r="FW20" s="465">
        <v>164931</v>
      </c>
      <c r="FX20" s="464">
        <v>155224</v>
      </c>
      <c r="FY20" s="464">
        <v>4730135</v>
      </c>
      <c r="FZ20" s="5"/>
      <c r="GA20" s="144">
        <v>14219677</v>
      </c>
      <c r="GB20" s="346">
        <v>372471</v>
      </c>
      <c r="GC20" s="144">
        <v>332428</v>
      </c>
      <c r="GD20" s="144">
        <v>3801630</v>
      </c>
      <c r="GF20" s="144">
        <v>4289264</v>
      </c>
      <c r="GG20" s="346">
        <v>-119249</v>
      </c>
      <c r="GH20" s="144">
        <v>-135387</v>
      </c>
      <c r="GI20" s="144">
        <v>3801630</v>
      </c>
      <c r="GK20" s="144">
        <v>9930413</v>
      </c>
      <c r="GL20" s="346">
        <v>491720</v>
      </c>
      <c r="GM20" s="144">
        <v>467815</v>
      </c>
      <c r="GN20" s="144">
        <v>3801630</v>
      </c>
      <c r="GP20" s="144">
        <v>3448489</v>
      </c>
      <c r="GQ20" s="346">
        <v>137215</v>
      </c>
      <c r="GR20" s="144">
        <v>131621</v>
      </c>
      <c r="GS20" s="144">
        <v>3801630</v>
      </c>
      <c r="GV20" s="144">
        <v>6481924</v>
      </c>
      <c r="GW20" s="346">
        <v>354505</v>
      </c>
      <c r="GX20" s="144">
        <v>336194</v>
      </c>
      <c r="GY20" s="144">
        <v>3801630</v>
      </c>
      <c r="HA20" s="144">
        <v>3097600</v>
      </c>
      <c r="HB20" s="346">
        <v>166457</v>
      </c>
      <c r="HC20" s="144">
        <v>157497</v>
      </c>
      <c r="HD20" s="144">
        <v>3801630</v>
      </c>
      <c r="HF20" s="144">
        <v>3384324</v>
      </c>
      <c r="HG20" s="346">
        <v>188048</v>
      </c>
      <c r="HH20" s="144">
        <v>178697</v>
      </c>
      <c r="HI20" s="144">
        <v>3801630</v>
      </c>
      <c r="HK20" s="144">
        <v>13567887</v>
      </c>
      <c r="HL20" s="346">
        <v>841222</v>
      </c>
      <c r="HM20" s="144">
        <v>832216</v>
      </c>
      <c r="HN20" s="144">
        <v>3090248</v>
      </c>
      <c r="HP20" s="341">
        <v>3760678</v>
      </c>
      <c r="HQ20" s="342">
        <v>150244</v>
      </c>
      <c r="HR20" s="341">
        <v>148297</v>
      </c>
      <c r="HS20" s="341">
        <v>3090248</v>
      </c>
      <c r="HU20" s="144">
        <v>9807209</v>
      </c>
      <c r="HV20" s="346">
        <v>690978</v>
      </c>
      <c r="HW20" s="144">
        <v>683919</v>
      </c>
      <c r="HX20" s="144">
        <v>3090248</v>
      </c>
      <c r="HZ20" s="144">
        <v>3130213</v>
      </c>
      <c r="IA20" s="346">
        <v>145582</v>
      </c>
      <c r="IB20" s="144">
        <v>143502</v>
      </c>
      <c r="IC20" s="144">
        <v>3090248</v>
      </c>
      <c r="IE20" s="156">
        <v>6676996</v>
      </c>
      <c r="IF20" s="183">
        <v>545396</v>
      </c>
      <c r="IG20" s="156">
        <v>540417</v>
      </c>
      <c r="IH20" s="156">
        <v>3090248</v>
      </c>
      <c r="IJ20" s="156">
        <v>163143</v>
      </c>
      <c r="IK20" s="183">
        <v>165425</v>
      </c>
      <c r="IL20" s="156">
        <v>163143</v>
      </c>
      <c r="IM20" s="156">
        <v>3090248</v>
      </c>
      <c r="IO20" s="156">
        <v>3617437</v>
      </c>
      <c r="IP20" s="183">
        <v>379971</v>
      </c>
      <c r="IQ20" s="156">
        <v>377274</v>
      </c>
      <c r="IR20" s="156">
        <v>3090248</v>
      </c>
      <c r="IT20" s="156">
        <v>14016190</v>
      </c>
      <c r="IU20" s="156">
        <v>490005</v>
      </c>
      <c r="IV20" s="156">
        <v>479374</v>
      </c>
      <c r="IW20" s="156">
        <v>2659458</v>
      </c>
      <c r="IY20" s="156">
        <v>3861362</v>
      </c>
      <c r="IZ20" s="183">
        <v>89872</v>
      </c>
      <c r="JA20" s="156">
        <v>87549</v>
      </c>
      <c r="JB20" s="156">
        <v>2659458</v>
      </c>
      <c r="JC20" s="157"/>
      <c r="JD20" s="156">
        <v>10154828</v>
      </c>
      <c r="JE20" s="156">
        <v>400133</v>
      </c>
      <c r="JF20" s="156">
        <v>391825</v>
      </c>
      <c r="JG20" s="156">
        <v>2659458</v>
      </c>
      <c r="JH20" s="156"/>
      <c r="JI20" s="156">
        <v>3269473</v>
      </c>
      <c r="JJ20" s="156">
        <v>110560</v>
      </c>
      <c r="JK20" s="156">
        <v>108166</v>
      </c>
      <c r="JL20" s="156">
        <v>2659458</v>
      </c>
      <c r="JM20" s="157"/>
      <c r="JN20" s="156">
        <v>6885355</v>
      </c>
      <c r="JO20" s="156">
        <v>289573</v>
      </c>
      <c r="JP20" s="156">
        <v>283659</v>
      </c>
      <c r="JQ20" s="156">
        <v>2659458</v>
      </c>
      <c r="JR20" s="157"/>
      <c r="JS20" s="156">
        <f t="shared" si="42"/>
        <v>3376697</v>
      </c>
      <c r="JT20" s="156">
        <f t="shared" si="42"/>
        <v>121613</v>
      </c>
      <c r="JU20" s="156">
        <f t="shared" si="42"/>
        <v>122240</v>
      </c>
      <c r="JV20" s="156">
        <f>KA20</f>
        <v>2659458</v>
      </c>
      <c r="JW20" s="157"/>
      <c r="JX20" s="156">
        <v>3508658</v>
      </c>
      <c r="JY20" s="156">
        <v>167960</v>
      </c>
      <c r="JZ20" s="156">
        <v>161419</v>
      </c>
      <c r="KA20" s="156">
        <v>2659458</v>
      </c>
      <c r="KB20" s="157"/>
      <c r="KC20" s="156">
        <v>15873355</v>
      </c>
      <c r="KD20" s="156">
        <v>380405</v>
      </c>
      <c r="KE20" s="156">
        <v>369529</v>
      </c>
      <c r="KF20" s="156">
        <v>2709132</v>
      </c>
      <c r="KG20" s="157"/>
      <c r="KH20" s="156">
        <v>4060202</v>
      </c>
      <c r="KI20" s="156">
        <v>-71530</v>
      </c>
      <c r="KJ20" s="156">
        <v>-74268</v>
      </c>
      <c r="KK20" s="156">
        <v>2709132</v>
      </c>
      <c r="KL20" s="157"/>
      <c r="KM20" s="156">
        <v>11813153</v>
      </c>
      <c r="KN20" s="156">
        <v>451935</v>
      </c>
      <c r="KO20" s="156">
        <v>443797</v>
      </c>
      <c r="KP20" s="156">
        <v>2706907</v>
      </c>
      <c r="KQ20" s="157"/>
      <c r="KR20" s="156">
        <v>3719173</v>
      </c>
      <c r="KS20" s="156">
        <v>116782</v>
      </c>
      <c r="KT20" s="156">
        <v>114042</v>
      </c>
      <c r="KU20" s="156">
        <v>2706907</v>
      </c>
      <c r="KV20" s="157"/>
      <c r="KW20" s="156">
        <v>8093980</v>
      </c>
      <c r="KX20" s="156">
        <v>335153</v>
      </c>
      <c r="KY20" s="156">
        <v>329755</v>
      </c>
      <c r="KZ20" s="156">
        <v>2706907</v>
      </c>
      <c r="LA20" s="157"/>
      <c r="LB20" s="156">
        <v>3915698</v>
      </c>
      <c r="LC20" s="156">
        <v>141382</v>
      </c>
      <c r="LD20" s="156">
        <v>138710</v>
      </c>
      <c r="LE20" s="156">
        <v>2706907</v>
      </c>
      <c r="LF20" s="157"/>
      <c r="LG20" s="156">
        <v>4178282</v>
      </c>
      <c r="LH20" s="156">
        <v>193771</v>
      </c>
      <c r="LI20" s="156">
        <v>191045</v>
      </c>
      <c r="LJ20" s="156">
        <v>2706907</v>
      </c>
      <c r="LK20" s="157"/>
      <c r="LL20" s="156">
        <v>15277451</v>
      </c>
      <c r="LM20" s="156">
        <v>608213</v>
      </c>
      <c r="LN20" s="156">
        <v>582307</v>
      </c>
      <c r="LO20" s="156">
        <v>3715551</v>
      </c>
      <c r="LP20" s="163"/>
      <c r="LQ20" s="156">
        <v>4010459</v>
      </c>
      <c r="LR20" s="156">
        <v>106749</v>
      </c>
      <c r="LS20" s="156">
        <v>103508</v>
      </c>
      <c r="LT20" s="156">
        <v>3715551</v>
      </c>
      <c r="LU20" s="163"/>
      <c r="LV20" s="156">
        <v>11266992</v>
      </c>
      <c r="LW20" s="156">
        <v>501464</v>
      </c>
      <c r="LX20" s="156">
        <v>478799</v>
      </c>
      <c r="LY20" s="156">
        <v>3715551</v>
      </c>
      <c r="LZ20" s="157"/>
      <c r="MA20" s="156">
        <v>3691883</v>
      </c>
      <c r="MB20" s="156">
        <v>109830</v>
      </c>
      <c r="MC20" s="156">
        <v>105291</v>
      </c>
      <c r="MD20" s="156">
        <v>3715551</v>
      </c>
      <c r="ME20" s="157"/>
      <c r="MF20" s="156">
        <v>7575109</v>
      </c>
      <c r="MG20" s="156">
        <v>391634</v>
      </c>
      <c r="MH20" s="156">
        <v>373508</v>
      </c>
      <c r="MI20" s="156">
        <v>3715551</v>
      </c>
      <c r="MJ20" s="157"/>
      <c r="MK20" s="156">
        <v>3479108</v>
      </c>
      <c r="ML20" s="156">
        <v>153290</v>
      </c>
      <c r="MM20" s="156">
        <v>144543</v>
      </c>
      <c r="MN20" s="156">
        <v>3715551</v>
      </c>
      <c r="MO20" s="157"/>
      <c r="MP20" s="156">
        <v>4096001</v>
      </c>
      <c r="MQ20" s="156">
        <v>238344</v>
      </c>
      <c r="MR20" s="156">
        <v>228965</v>
      </c>
      <c r="MS20" s="156">
        <v>3715551</v>
      </c>
      <c r="MT20" s="157"/>
      <c r="MU20" s="164" t="s">
        <v>81</v>
      </c>
      <c r="MV20" s="162">
        <v>1397506</v>
      </c>
      <c r="MW20" s="162">
        <v>165783</v>
      </c>
      <c r="MX20" s="162">
        <v>65786</v>
      </c>
      <c r="MY20" s="162">
        <v>1465831</v>
      </c>
      <c r="MZ20" s="157"/>
      <c r="NA20" s="162">
        <v>1092570</v>
      </c>
      <c r="NB20" s="162">
        <v>168014</v>
      </c>
      <c r="NC20" s="162">
        <v>88794</v>
      </c>
      <c r="ND20" s="162">
        <v>1465831</v>
      </c>
      <c r="NE20" s="157"/>
      <c r="NF20" s="162">
        <v>748322</v>
      </c>
      <c r="NG20" s="162">
        <v>137404</v>
      </c>
      <c r="NH20" s="162">
        <v>84452</v>
      </c>
      <c r="NI20" s="162">
        <v>1465831</v>
      </c>
      <c r="NJ20" s="157"/>
      <c r="NK20" s="157"/>
      <c r="NL20" s="157"/>
      <c r="NM20" s="157"/>
      <c r="NN20" s="157"/>
      <c r="NO20" s="157"/>
      <c r="NP20" s="157"/>
      <c r="NQ20" s="157"/>
      <c r="NR20" s="157"/>
      <c r="NS20" s="157"/>
      <c r="NT20" s="157"/>
      <c r="NU20" s="157"/>
      <c r="NV20" s="157"/>
      <c r="NW20" s="157"/>
      <c r="NX20" s="157"/>
      <c r="NY20" s="157"/>
      <c r="NZ20" s="157"/>
      <c r="OA20" s="157"/>
      <c r="OB20" s="157"/>
      <c r="OC20" s="157"/>
      <c r="OD20" s="157"/>
      <c r="OE20" s="157"/>
      <c r="OF20" s="157"/>
      <c r="OG20" s="157"/>
      <c r="OH20" s="157"/>
      <c r="OI20" s="157"/>
      <c r="OJ20" s="157"/>
      <c r="OK20" s="157"/>
      <c r="OL20" s="157"/>
      <c r="OM20" s="157"/>
      <c r="ON20" s="157"/>
      <c r="OO20" s="157"/>
      <c r="OP20" s="157"/>
      <c r="OQ20" s="157"/>
      <c r="OR20" s="157"/>
      <c r="OS20" s="157"/>
      <c r="OT20" s="157"/>
      <c r="OU20" s="157"/>
      <c r="OV20" s="157"/>
      <c r="OW20" s="157"/>
      <c r="OX20" s="157"/>
      <c r="OY20" s="157"/>
      <c r="OZ20" s="157"/>
      <c r="PA20" s="157"/>
    </row>
    <row r="21" spans="1:417">
      <c r="A21" s="59" t="s">
        <v>80</v>
      </c>
      <c r="C21" s="610"/>
      <c r="D21" s="610"/>
      <c r="E21" s="610"/>
      <c r="F21" s="610"/>
      <c r="H21" s="610"/>
      <c r="I21" s="610"/>
      <c r="J21" s="610"/>
      <c r="K21" s="610"/>
      <c r="M21" s="610"/>
      <c r="N21" s="610"/>
      <c r="O21" s="610"/>
      <c r="P21" s="610"/>
      <c r="R21" s="610">
        <f>([5]segmenty!$G$47)*1000</f>
        <v>784000</v>
      </c>
      <c r="S21" s="610">
        <f>([5]segmenty!$G$72)*1000</f>
        <v>160000</v>
      </c>
      <c r="T21" s="610">
        <f>([5]segmenty!$G$69)*1000</f>
        <v>32000</v>
      </c>
      <c r="U21" s="610">
        <f>([5]segmenty!$G$63)*1000</f>
        <v>1291000</v>
      </c>
      <c r="W21" s="610">
        <f>('[5]segmenty 3 m-ce'!$G$100)*1000</f>
        <v>267000</v>
      </c>
      <c r="X21" s="610">
        <f>('[5]segmenty 3 m-ce'!$G$115)*1000</f>
        <v>46000</v>
      </c>
      <c r="Y21" s="610">
        <f>('[5]segmenty 3 m-ce'!$G$112)*1000</f>
        <v>1000</v>
      </c>
      <c r="Z21" s="610">
        <f t="shared" si="43"/>
        <v>1291000</v>
      </c>
      <c r="AB21" s="610">
        <v>517000</v>
      </c>
      <c r="AC21" s="610">
        <v>114000</v>
      </c>
      <c r="AD21" s="610">
        <v>31000</v>
      </c>
      <c r="AE21" s="610">
        <v>1291000</v>
      </c>
      <c r="AG21" s="610">
        <v>258000</v>
      </c>
      <c r="AH21" s="610">
        <v>48000</v>
      </c>
      <c r="AI21" s="610">
        <v>7000</v>
      </c>
      <c r="AJ21" s="610">
        <f t="shared" si="44"/>
        <v>1291000</v>
      </c>
      <c r="AL21" s="610">
        <f>[6]segmenty!$F$47*1000</f>
        <v>386000</v>
      </c>
      <c r="AM21" s="610">
        <f>[6]segmenty!$F$72*1000</f>
        <v>70000</v>
      </c>
      <c r="AN21" s="610">
        <f>[6]segmenty!$F$69*1000</f>
        <v>27000</v>
      </c>
      <c r="AO21" s="610">
        <f>[6]segmenty!$F$63*1000</f>
        <v>1317000</v>
      </c>
      <c r="AQ21" s="610">
        <f>([7]segmenty!$F$48)*1000</f>
        <v>1428000</v>
      </c>
      <c r="AR21" s="610">
        <f>([7]segmenty!$F$73)*1000</f>
        <v>298000</v>
      </c>
      <c r="AS21" s="610">
        <f>([7]segmenty!$F$70)*1000</f>
        <v>163000</v>
      </c>
      <c r="AT21" s="610">
        <f>([7]segmenty!$F$64)*1000</f>
        <v>1156000</v>
      </c>
      <c r="AV21" s="610">
        <f t="shared" si="45"/>
        <v>373000</v>
      </c>
      <c r="AW21" s="610">
        <f t="shared" si="45"/>
        <v>129000</v>
      </c>
      <c r="AX21" s="610">
        <f t="shared" si="45"/>
        <v>92000</v>
      </c>
      <c r="AY21" s="610">
        <f t="shared" si="46"/>
        <v>1156000</v>
      </c>
      <c r="BA21" s="610">
        <f>([8]segmenty!$F$48)*1000</f>
        <v>1055000</v>
      </c>
      <c r="BB21" s="610">
        <f>([8]segmenty!$F$73)*1000</f>
        <v>169000</v>
      </c>
      <c r="BC21" s="610">
        <f>([8]segmenty!$F$70)*1000</f>
        <v>71000</v>
      </c>
      <c r="BD21" s="610">
        <f>([8]segmenty!$F$64)*1000</f>
        <v>1156000</v>
      </c>
      <c r="BF21" s="610">
        <f>('[8]segmenty 3 m-ce PREZ'!$F$39)*1000</f>
        <v>351000</v>
      </c>
      <c r="BG21" s="610">
        <f>('[8]segmenty 3 m-ce PREZ'!$F$46)*1000</f>
        <v>44000</v>
      </c>
      <c r="BH21" s="610">
        <f>('[8]segmenty 3 m-ce PREZ'!$F$42)*1000</f>
        <v>12000</v>
      </c>
      <c r="BI21" s="610">
        <f t="shared" si="47"/>
        <v>1156000</v>
      </c>
      <c r="BK21" s="610">
        <f>([9]segmenty!$F$48)*1000</f>
        <v>704000</v>
      </c>
      <c r="BL21" s="610">
        <f>([9]segmenty!$F$72)*1000</f>
        <v>125000</v>
      </c>
      <c r="BM21" s="610">
        <f>([9]segmenty!$F$69)*1000</f>
        <v>59000</v>
      </c>
      <c r="BN21" s="610">
        <f>([9]segmenty!$F$63)*1000</f>
        <v>1156000</v>
      </c>
      <c r="BP21" s="610">
        <f>('[9]segmenty 3 m-ce'!$F$101)*1000</f>
        <v>345000</v>
      </c>
      <c r="BQ21" s="610">
        <f>('[9]segmenty 3 m-ce'!$F$115)*1000</f>
        <v>65000</v>
      </c>
      <c r="BR21" s="610">
        <f>('[9]segmenty 3 m-ce'!$F$112)*1000</f>
        <v>30000</v>
      </c>
      <c r="BS21" s="610">
        <f t="shared" si="48"/>
        <v>1156000</v>
      </c>
      <c r="BU21" s="610">
        <f>[10]segmenty!$F$48*1000</f>
        <v>359000</v>
      </c>
      <c r="BV21" s="610">
        <f>[10]segmenty!$F$71*1000</f>
        <v>60000</v>
      </c>
      <c r="BW21" s="610">
        <f>[10]segmenty!$F$69*1000</f>
        <v>29000</v>
      </c>
      <c r="BX21" s="610">
        <f>[10]segmenty!$F$63*1000</f>
        <v>1156000</v>
      </c>
      <c r="BZ21" s="610">
        <f t="shared" si="49"/>
        <v>337000</v>
      </c>
      <c r="CA21" s="610">
        <f t="shared" si="49"/>
        <v>58000</v>
      </c>
      <c r="CB21" s="610">
        <f t="shared" si="49"/>
        <v>24000</v>
      </c>
      <c r="CC21" s="610">
        <f t="shared" si="50"/>
        <v>891000</v>
      </c>
      <c r="CE21" s="610">
        <v>1177000</v>
      </c>
      <c r="CF21" s="610">
        <v>208000</v>
      </c>
      <c r="CG21" s="610">
        <v>92000</v>
      </c>
      <c r="CH21" s="610">
        <v>891000</v>
      </c>
      <c r="CJ21" s="467">
        <v>281000</v>
      </c>
      <c r="CK21" s="467">
        <v>43000</v>
      </c>
      <c r="CL21" s="467">
        <v>16000</v>
      </c>
      <c r="CM21" s="467">
        <f t="shared" si="24"/>
        <v>891000</v>
      </c>
      <c r="CO21" s="467">
        <v>840000</v>
      </c>
      <c r="CP21" s="467">
        <v>150000</v>
      </c>
      <c r="CQ21" s="467">
        <v>68000</v>
      </c>
      <c r="CR21" s="467">
        <v>891000</v>
      </c>
      <c r="CT21" s="467">
        <f t="shared" si="25"/>
        <v>272000</v>
      </c>
      <c r="CU21" s="467">
        <f t="shared" si="26"/>
        <v>57000</v>
      </c>
      <c r="CV21" s="467">
        <f t="shared" si="27"/>
        <v>28000</v>
      </c>
      <c r="CW21" s="467">
        <v>891000</v>
      </c>
      <c r="CY21" s="467">
        <v>559000</v>
      </c>
      <c r="CZ21" s="467">
        <v>107000</v>
      </c>
      <c r="DA21" s="467">
        <v>52000</v>
      </c>
      <c r="DB21" s="467">
        <v>891000</v>
      </c>
      <c r="DD21" s="467">
        <v>287000</v>
      </c>
      <c r="DE21" s="467">
        <v>50000</v>
      </c>
      <c r="DF21" s="467">
        <v>24000</v>
      </c>
      <c r="DG21" s="467">
        <v>891000</v>
      </c>
      <c r="DI21" s="467">
        <f t="shared" si="28"/>
        <v>291958</v>
      </c>
      <c r="DJ21" s="467">
        <f t="shared" si="29"/>
        <v>17556</v>
      </c>
      <c r="DK21" s="467">
        <f t="shared" si="30"/>
        <v>-6636</v>
      </c>
      <c r="DL21" s="467">
        <f t="shared" si="31"/>
        <v>776000</v>
      </c>
      <c r="DN21" s="467">
        <v>1114000</v>
      </c>
      <c r="DO21" s="467">
        <v>229000</v>
      </c>
      <c r="DP21" s="467">
        <v>136000</v>
      </c>
      <c r="DQ21" s="467">
        <v>776000</v>
      </c>
      <c r="DS21" s="467">
        <f t="shared" si="32"/>
        <v>286091</v>
      </c>
      <c r="DT21" s="467">
        <f t="shared" si="32"/>
        <v>49068</v>
      </c>
      <c r="DU21" s="467">
        <f t="shared" si="32"/>
        <v>24446</v>
      </c>
      <c r="DV21" s="467">
        <f t="shared" si="33"/>
        <v>775856</v>
      </c>
      <c r="DX21" s="467">
        <v>822042</v>
      </c>
      <c r="DY21" s="467">
        <v>211444</v>
      </c>
      <c r="DZ21" s="467">
        <v>142636</v>
      </c>
      <c r="EA21" s="467">
        <v>775856</v>
      </c>
      <c r="EC21" s="467">
        <f t="shared" si="34"/>
        <v>273482</v>
      </c>
      <c r="ED21" s="467">
        <f t="shared" si="34"/>
        <v>123596</v>
      </c>
      <c r="EE21" s="467">
        <f t="shared" si="34"/>
        <v>100460</v>
      </c>
      <c r="EF21" s="467">
        <f t="shared" si="35"/>
        <v>775856</v>
      </c>
      <c r="EH21" s="467">
        <v>535951</v>
      </c>
      <c r="EI21" s="467">
        <v>162376</v>
      </c>
      <c r="EJ21" s="467">
        <v>118190</v>
      </c>
      <c r="EK21" s="467">
        <v>775856</v>
      </c>
      <c r="EM21" s="467">
        <v>262469</v>
      </c>
      <c r="EN21" s="467">
        <v>38780</v>
      </c>
      <c r="EO21" s="467">
        <v>17730</v>
      </c>
      <c r="EP21" s="467">
        <v>775856</v>
      </c>
      <c r="ER21" s="467">
        <f t="shared" si="36"/>
        <v>247939</v>
      </c>
      <c r="ES21" s="467">
        <f t="shared" si="37"/>
        <v>8695</v>
      </c>
      <c r="ET21" s="467">
        <f t="shared" si="38"/>
        <v>-13448</v>
      </c>
      <c r="EU21" s="467">
        <f t="shared" si="39"/>
        <v>648705</v>
      </c>
      <c r="EW21" s="467">
        <v>979911</v>
      </c>
      <c r="EX21" s="467">
        <v>136186</v>
      </c>
      <c r="EY21" s="467">
        <v>46152</v>
      </c>
      <c r="EZ21" s="467">
        <v>648705</v>
      </c>
      <c r="FB21" s="467">
        <v>249043</v>
      </c>
      <c r="FC21" s="467">
        <v>43029</v>
      </c>
      <c r="FD21" s="467">
        <v>20235</v>
      </c>
      <c r="FE21" s="467">
        <f t="shared" si="40"/>
        <v>648705</v>
      </c>
      <c r="FG21" s="467">
        <v>731972</v>
      </c>
      <c r="FH21" s="467">
        <v>127491</v>
      </c>
      <c r="FI21" s="467">
        <v>59600</v>
      </c>
      <c r="FJ21" s="467">
        <v>648705</v>
      </c>
      <c r="FL21" s="464">
        <f t="shared" si="41"/>
        <v>234413</v>
      </c>
      <c r="FM21" s="465">
        <f t="shared" si="41"/>
        <v>40018</v>
      </c>
      <c r="FN21" s="464">
        <f t="shared" si="41"/>
        <v>17339</v>
      </c>
      <c r="FO21" s="464">
        <v>648705</v>
      </c>
      <c r="FQ21" s="464">
        <v>482929</v>
      </c>
      <c r="FR21" s="465">
        <v>84462</v>
      </c>
      <c r="FS21" s="464">
        <v>39365</v>
      </c>
      <c r="FT21" s="464">
        <v>648705</v>
      </c>
      <c r="FV21" s="464">
        <v>248516</v>
      </c>
      <c r="FW21" s="465">
        <v>44444</v>
      </c>
      <c r="FX21" s="464">
        <v>22026</v>
      </c>
      <c r="FY21" s="464">
        <v>648705</v>
      </c>
      <c r="FZ21" s="5"/>
      <c r="GA21" s="144">
        <v>857462</v>
      </c>
      <c r="GB21" s="346">
        <v>135032</v>
      </c>
      <c r="GC21" s="144">
        <v>46023</v>
      </c>
      <c r="GD21" s="144">
        <v>581497</v>
      </c>
      <c r="GF21" s="144">
        <v>240979</v>
      </c>
      <c r="GG21" s="346">
        <v>4784</v>
      </c>
      <c r="GH21" s="144">
        <v>-16871</v>
      </c>
      <c r="GI21" s="144">
        <v>581497</v>
      </c>
      <c r="GK21" s="144">
        <v>616483</v>
      </c>
      <c r="GL21" s="346">
        <v>130248</v>
      </c>
      <c r="GM21" s="144">
        <v>62894</v>
      </c>
      <c r="GN21" s="144">
        <v>581497</v>
      </c>
      <c r="GP21" s="144">
        <v>201877</v>
      </c>
      <c r="GQ21" s="346">
        <v>41536</v>
      </c>
      <c r="GR21" s="144">
        <v>18622</v>
      </c>
      <c r="GS21" s="144">
        <v>581497</v>
      </c>
      <c r="GV21" s="144">
        <v>414606</v>
      </c>
      <c r="GW21" s="346">
        <v>88712</v>
      </c>
      <c r="GX21" s="144">
        <v>44272</v>
      </c>
      <c r="GY21" s="144">
        <v>581497</v>
      </c>
      <c r="HA21" s="144">
        <v>219053</v>
      </c>
      <c r="HB21" s="346">
        <v>49009</v>
      </c>
      <c r="HC21" s="144">
        <v>25412</v>
      </c>
      <c r="HD21" s="144">
        <v>581497</v>
      </c>
      <c r="HF21" s="144">
        <v>195553</v>
      </c>
      <c r="HG21" s="346">
        <v>39703</v>
      </c>
      <c r="HH21" s="144">
        <v>18860</v>
      </c>
      <c r="HI21" s="144">
        <v>581497</v>
      </c>
      <c r="HK21" s="144">
        <v>804560</v>
      </c>
      <c r="HL21" s="346">
        <v>118043</v>
      </c>
      <c r="HM21" s="144">
        <v>35902</v>
      </c>
      <c r="HN21" s="144">
        <v>508825</v>
      </c>
      <c r="HP21" s="341">
        <v>206198</v>
      </c>
      <c r="HQ21" s="342">
        <v>3431</v>
      </c>
      <c r="HR21" s="341">
        <v>-19915</v>
      </c>
      <c r="HS21" s="341">
        <v>508825</v>
      </c>
      <c r="HU21" s="144">
        <v>598362</v>
      </c>
      <c r="HV21" s="346">
        <v>114612</v>
      </c>
      <c r="HW21" s="144">
        <v>55817</v>
      </c>
      <c r="HX21" s="144">
        <v>508825</v>
      </c>
      <c r="HZ21" s="144">
        <v>205774</v>
      </c>
      <c r="IA21" s="346">
        <v>37977</v>
      </c>
      <c r="IB21" s="144">
        <v>17870</v>
      </c>
      <c r="IC21" s="144">
        <v>508825</v>
      </c>
      <c r="IE21" s="156">
        <v>392588</v>
      </c>
      <c r="IF21" s="183">
        <v>76635</v>
      </c>
      <c r="IG21" s="156">
        <v>37947</v>
      </c>
      <c r="IH21" s="156">
        <v>508825</v>
      </c>
      <c r="IJ21" s="156">
        <v>21212</v>
      </c>
      <c r="IK21" s="183">
        <v>40909</v>
      </c>
      <c r="IL21" s="156">
        <v>21212</v>
      </c>
      <c r="IM21" s="156">
        <v>508825</v>
      </c>
      <c r="IO21" s="156">
        <v>194781</v>
      </c>
      <c r="IP21" s="183">
        <v>35726</v>
      </c>
      <c r="IQ21" s="156">
        <v>16735</v>
      </c>
      <c r="IR21" s="156">
        <v>508825</v>
      </c>
      <c r="IT21" s="156">
        <v>827928</v>
      </c>
      <c r="IU21" s="156">
        <v>114570</v>
      </c>
      <c r="IV21" s="156">
        <v>42642</v>
      </c>
      <c r="IW21" s="156">
        <v>468202</v>
      </c>
      <c r="IY21" s="156">
        <v>211032</v>
      </c>
      <c r="IZ21" s="183">
        <v>12302</v>
      </c>
      <c r="JA21" s="156">
        <v>-5504</v>
      </c>
      <c r="JB21" s="156">
        <v>468202</v>
      </c>
      <c r="JC21" s="157"/>
      <c r="JD21" s="156">
        <v>616896</v>
      </c>
      <c r="JE21" s="156">
        <v>102268</v>
      </c>
      <c r="JF21" s="156">
        <v>48146</v>
      </c>
      <c r="JG21" s="156">
        <v>468202</v>
      </c>
      <c r="JH21" s="156"/>
      <c r="JI21" s="156">
        <v>188053</v>
      </c>
      <c r="JJ21" s="156">
        <v>36232</v>
      </c>
      <c r="JK21" s="156">
        <v>18324</v>
      </c>
      <c r="JL21" s="156">
        <v>468202</v>
      </c>
      <c r="JM21" s="157"/>
      <c r="JN21" s="156">
        <v>428843</v>
      </c>
      <c r="JO21" s="156">
        <v>66036</v>
      </c>
      <c r="JP21" s="156">
        <v>29822</v>
      </c>
      <c r="JQ21" s="156">
        <v>468202</v>
      </c>
      <c r="JR21" s="157"/>
      <c r="JS21" s="156">
        <f t="shared" si="42"/>
        <v>211401</v>
      </c>
      <c r="JT21" s="156">
        <f t="shared" si="42"/>
        <v>35550</v>
      </c>
      <c r="JU21" s="156">
        <f t="shared" si="42"/>
        <v>17383</v>
      </c>
      <c r="JV21" s="156">
        <f>KA21</f>
        <v>468202</v>
      </c>
      <c r="JW21" s="157"/>
      <c r="JX21" s="156">
        <v>217442</v>
      </c>
      <c r="JY21" s="156">
        <v>30486</v>
      </c>
      <c r="JZ21" s="156">
        <v>12439</v>
      </c>
      <c r="KA21" s="156">
        <v>468202</v>
      </c>
      <c r="KB21" s="157"/>
      <c r="KC21" s="156">
        <v>927953</v>
      </c>
      <c r="KD21" s="156">
        <v>100320</v>
      </c>
      <c r="KE21" s="156">
        <v>32596</v>
      </c>
      <c r="KF21" s="156">
        <v>478618</v>
      </c>
      <c r="KG21" s="157"/>
      <c r="KH21" s="156">
        <v>225159</v>
      </c>
      <c r="KI21" s="156">
        <v>2137</v>
      </c>
      <c r="KJ21" s="156">
        <v>-15376</v>
      </c>
      <c r="KK21" s="156">
        <v>478618</v>
      </c>
      <c r="KL21" s="157"/>
      <c r="KM21" s="156">
        <v>702794</v>
      </c>
      <c r="KN21" s="156">
        <v>98183</v>
      </c>
      <c r="KO21" s="156">
        <v>47972</v>
      </c>
      <c r="KP21" s="156">
        <v>478618</v>
      </c>
      <c r="KQ21" s="157"/>
      <c r="KR21" s="156">
        <v>199648</v>
      </c>
      <c r="KS21" s="156">
        <v>37188</v>
      </c>
      <c r="KT21" s="156">
        <v>20076</v>
      </c>
      <c r="KU21" s="156">
        <v>478618</v>
      </c>
      <c r="KV21" s="157"/>
      <c r="KW21" s="156">
        <v>503146</v>
      </c>
      <c r="KX21" s="156">
        <v>60995</v>
      </c>
      <c r="KY21" s="156">
        <v>27896</v>
      </c>
      <c r="KZ21" s="156">
        <v>478618</v>
      </c>
      <c r="LA21" s="157"/>
      <c r="LB21" s="156">
        <v>239006</v>
      </c>
      <c r="LC21" s="156">
        <v>17622</v>
      </c>
      <c r="LD21" s="156">
        <v>789</v>
      </c>
      <c r="LE21" s="156">
        <v>478618</v>
      </c>
      <c r="LF21" s="157"/>
      <c r="LG21" s="156">
        <v>264140</v>
      </c>
      <c r="LH21" s="156">
        <v>43373</v>
      </c>
      <c r="LI21" s="156">
        <v>27107</v>
      </c>
      <c r="LJ21" s="156">
        <v>478618</v>
      </c>
      <c r="LK21" s="157"/>
      <c r="LL21" s="156">
        <v>870035</v>
      </c>
      <c r="LM21" s="156">
        <v>106215</v>
      </c>
      <c r="LN21" s="156">
        <v>56593</v>
      </c>
      <c r="LO21" s="156">
        <v>459596</v>
      </c>
      <c r="LP21" s="163"/>
      <c r="LQ21" s="156">
        <v>210812.29391999985</v>
      </c>
      <c r="LR21" s="156">
        <v>-3324</v>
      </c>
      <c r="LS21" s="156">
        <v>-17508</v>
      </c>
      <c r="LT21" s="156">
        <v>459596</v>
      </c>
      <c r="LU21" s="163"/>
      <c r="LV21" s="156">
        <v>659222.70608000015</v>
      </c>
      <c r="LW21" s="156">
        <v>109539</v>
      </c>
      <c r="LX21" s="156">
        <v>74101</v>
      </c>
      <c r="LY21" s="156">
        <v>459596</v>
      </c>
      <c r="LZ21" s="157"/>
      <c r="MA21" s="156">
        <v>233888.70608000015</v>
      </c>
      <c r="MB21" s="156">
        <v>42296</v>
      </c>
      <c r="MC21" s="156">
        <v>28734</v>
      </c>
      <c r="MD21" s="156">
        <v>459596</v>
      </c>
      <c r="ME21" s="157"/>
      <c r="MF21" s="156">
        <v>425334.29366000002</v>
      </c>
      <c r="MG21" s="156">
        <v>67238</v>
      </c>
      <c r="MH21" s="156">
        <v>45367</v>
      </c>
      <c r="MI21" s="156">
        <v>459596</v>
      </c>
      <c r="MJ21" s="157"/>
      <c r="MK21" s="156">
        <v>195771.29366000002</v>
      </c>
      <c r="ML21" s="156">
        <v>22700</v>
      </c>
      <c r="MM21" s="156">
        <v>11051</v>
      </c>
      <c r="MN21" s="156">
        <v>459596</v>
      </c>
      <c r="MO21" s="157"/>
      <c r="MP21" s="156">
        <v>229563</v>
      </c>
      <c r="MQ21" s="156">
        <v>44538</v>
      </c>
      <c r="MR21" s="156">
        <v>34316</v>
      </c>
      <c r="MS21" s="156">
        <v>459596</v>
      </c>
      <c r="MT21" s="157"/>
      <c r="MU21" s="163" t="s">
        <v>82</v>
      </c>
      <c r="MV21" s="156">
        <v>4574265</v>
      </c>
      <c r="MW21" s="156">
        <v>28852</v>
      </c>
      <c r="MX21" s="156">
        <v>-458954</v>
      </c>
      <c r="MY21" s="156">
        <v>8646833</v>
      </c>
      <c r="MZ21" s="157"/>
      <c r="NA21" s="156">
        <v>3339570</v>
      </c>
      <c r="NB21" s="156">
        <v>117195</v>
      </c>
      <c r="NC21" s="156">
        <v>-254167</v>
      </c>
      <c r="ND21" s="156">
        <v>8646833</v>
      </c>
      <c r="NE21" s="157"/>
      <c r="NF21" s="156">
        <v>2270136</v>
      </c>
      <c r="NG21" s="156">
        <v>28139</v>
      </c>
      <c r="NH21" s="156">
        <v>-230592</v>
      </c>
      <c r="NI21" s="156">
        <v>8646833</v>
      </c>
      <c r="NJ21" s="157"/>
      <c r="NK21" s="157"/>
      <c r="NL21" s="157"/>
      <c r="NM21" s="157"/>
      <c r="NN21" s="157"/>
      <c r="NO21" s="157"/>
      <c r="NP21" s="157"/>
      <c r="NQ21" s="157"/>
      <c r="NR21" s="157"/>
      <c r="NS21" s="157"/>
      <c r="NT21" s="157"/>
      <c r="NU21" s="157"/>
      <c r="NV21" s="157"/>
      <c r="NW21" s="157"/>
      <c r="NX21" s="157"/>
      <c r="NY21" s="157"/>
      <c r="NZ21" s="157"/>
      <c r="OA21" s="157"/>
      <c r="OB21" s="157"/>
      <c r="OC21" s="157"/>
      <c r="OD21" s="157"/>
      <c r="OE21" s="157"/>
      <c r="OF21" s="157"/>
      <c r="OG21" s="157"/>
      <c r="OH21" s="157"/>
      <c r="OI21" s="157"/>
      <c r="OJ21" s="157"/>
      <c r="OK21" s="157"/>
      <c r="OL21" s="157"/>
      <c r="OM21" s="157"/>
      <c r="ON21" s="157"/>
      <c r="OO21" s="157"/>
      <c r="OP21" s="157"/>
      <c r="OQ21" s="157"/>
      <c r="OR21" s="157"/>
      <c r="OS21" s="157"/>
      <c r="OT21" s="157"/>
      <c r="OU21" s="157"/>
      <c r="OV21" s="157"/>
      <c r="OW21" s="157"/>
      <c r="OX21" s="157"/>
      <c r="OY21" s="157"/>
      <c r="OZ21" s="157"/>
      <c r="PA21" s="157"/>
    </row>
    <row r="22" spans="1:417">
      <c r="A22" s="59" t="s">
        <v>588</v>
      </c>
      <c r="C22" s="610"/>
      <c r="D22" s="610"/>
      <c r="E22" s="610"/>
      <c r="F22" s="610"/>
      <c r="H22" s="610"/>
      <c r="I22" s="610"/>
      <c r="J22" s="610"/>
      <c r="K22" s="610"/>
      <c r="M22" s="610"/>
      <c r="N22" s="610"/>
      <c r="O22" s="610"/>
      <c r="P22" s="610"/>
      <c r="R22" s="610"/>
      <c r="S22" s="610"/>
      <c r="T22" s="610"/>
      <c r="U22" s="610"/>
      <c r="W22" s="610"/>
      <c r="X22" s="610"/>
      <c r="Y22" s="610"/>
      <c r="Z22" s="610"/>
      <c r="AB22" s="610"/>
      <c r="AC22" s="610"/>
      <c r="AD22" s="610"/>
      <c r="AE22" s="610"/>
      <c r="AG22" s="610"/>
      <c r="AH22" s="610"/>
      <c r="AI22" s="610"/>
      <c r="AJ22" s="610"/>
      <c r="AL22" s="610"/>
      <c r="AM22" s="610"/>
      <c r="AN22" s="610"/>
      <c r="AO22" s="610"/>
      <c r="AQ22" s="610">
        <f>(SUM([7]segmenty!$I$48:$J$48))*1000</f>
        <v>1030000</v>
      </c>
      <c r="AR22" s="610">
        <f>(SUM([7]segmenty!$I$73:$J$73))*1000</f>
        <v>801000</v>
      </c>
      <c r="AS22" s="610">
        <f>(SUM([7]segmenty!$I$70:$J$70))*1000</f>
        <v>50000</v>
      </c>
      <c r="AT22" s="610">
        <v>0</v>
      </c>
      <c r="AV22" s="610">
        <f t="shared" si="45"/>
        <v>484000</v>
      </c>
      <c r="AW22" s="610">
        <f t="shared" si="45"/>
        <v>517000</v>
      </c>
      <c r="AX22" s="610">
        <f t="shared" si="45"/>
        <v>-20000</v>
      </c>
      <c r="AY22" s="610"/>
      <c r="BA22" s="610">
        <f>(SUM([8]segmenty!$I$48:$J$48))*1000</f>
        <v>546000</v>
      </c>
      <c r="BB22" s="610">
        <f>(SUM([8]segmenty!$I$73:$J$73))*1000</f>
        <v>284000</v>
      </c>
      <c r="BC22" s="610">
        <f>(SUM([8]segmenty!$I$70:$J$70))*1000</f>
        <v>70000</v>
      </c>
      <c r="BD22" s="610"/>
      <c r="BF22" s="610">
        <f>('[8]segmenty 3 m-ce PREZ'!$K$39)*1000</f>
        <v>123000</v>
      </c>
      <c r="BG22" s="610">
        <f>('[8]segmenty 3 m-ce PREZ'!$K$46)*1000</f>
        <v>-47000</v>
      </c>
      <c r="BH22" s="610">
        <f>('[8]segmenty 3 m-ce PREZ'!$K$42)*1000</f>
        <v>-75000</v>
      </c>
      <c r="BI22" s="610"/>
      <c r="BK22" s="610">
        <f>(SUM([9]segmenty!$I$48:$J$48))*1000</f>
        <v>423000</v>
      </c>
      <c r="BL22" s="610">
        <f>(SUM([9]segmenty!$I$72:$J$72))*1000</f>
        <v>331000</v>
      </c>
      <c r="BM22" s="610">
        <f>(SUM([9]segmenty!$I$69:$J$69))*1000</f>
        <v>145000</v>
      </c>
      <c r="BN22" s="610">
        <f>(SUM([9]segmenty!$I$63:$J$63))*1000</f>
        <v>0</v>
      </c>
      <c r="BP22" s="610">
        <f>(SUM('[9]segmenty 3 m-ce'!$I$101:$J$101))*1000</f>
        <v>230000</v>
      </c>
      <c r="BQ22" s="610">
        <f>(SUM('[9]segmenty 3 m-ce'!$I$115:$J$115))*1000</f>
        <v>210000</v>
      </c>
      <c r="BR22" s="610">
        <f>(SUM('[9]segmenty 3 m-ce'!$I$112:$J$112))*1000</f>
        <v>76000</v>
      </c>
      <c r="BS22" s="610"/>
      <c r="BU22" s="610">
        <f>SUM([10]segmenty!$I$48:$J$48)*1000</f>
        <v>193000</v>
      </c>
      <c r="BV22" s="610">
        <f>SUM([10]segmenty!$I$71:$J$71)*1000</f>
        <v>121000</v>
      </c>
      <c r="BW22" s="610">
        <f>SUM([10]segmenty!$I$69:$J$69)*1000</f>
        <v>69000</v>
      </c>
      <c r="BX22" s="610">
        <f>SUM([10]segmenty!$I$63:$J$63)*1000</f>
        <v>0</v>
      </c>
      <c r="BZ22" s="610">
        <f>CE22-CO15</f>
        <v>-540000</v>
      </c>
      <c r="CA22" s="610">
        <f>CF22-CP15</f>
        <v>58000</v>
      </c>
      <c r="CB22" s="610">
        <f>CG22-CQ15</f>
        <v>16000</v>
      </c>
      <c r="CC22" s="610">
        <f t="shared" si="50"/>
        <v>953000</v>
      </c>
      <c r="CE22" s="610">
        <v>450000</v>
      </c>
      <c r="CF22" s="610">
        <v>-116000</v>
      </c>
      <c r="CG22" s="610">
        <v>-444000</v>
      </c>
      <c r="CH22" s="610">
        <v>953000</v>
      </c>
      <c r="CJ22" s="467"/>
      <c r="CK22" s="467"/>
      <c r="CL22" s="467"/>
      <c r="CM22" s="467"/>
      <c r="CO22" s="467"/>
      <c r="CP22" s="467"/>
      <c r="CQ22" s="467"/>
      <c r="CR22" s="467"/>
      <c r="CT22" s="467"/>
      <c r="CU22" s="467"/>
      <c r="CV22" s="467"/>
      <c r="CW22" s="467"/>
      <c r="CY22" s="467"/>
      <c r="CZ22" s="467"/>
      <c r="DA22" s="467"/>
      <c r="DB22" s="467"/>
      <c r="DD22" s="467"/>
      <c r="DE22" s="467"/>
      <c r="DF22" s="467"/>
      <c r="DG22" s="467"/>
      <c r="DI22" s="467"/>
      <c r="DJ22" s="467"/>
      <c r="DK22" s="467"/>
      <c r="DL22" s="467"/>
      <c r="DN22" s="467"/>
      <c r="DO22" s="467"/>
      <c r="DP22" s="467"/>
      <c r="DQ22" s="467"/>
      <c r="DS22" s="467"/>
      <c r="DT22" s="467"/>
      <c r="DU22" s="467"/>
      <c r="DV22" s="467"/>
      <c r="DX22" s="467"/>
      <c r="DY22" s="467"/>
      <c r="DZ22" s="467"/>
      <c r="EA22" s="467"/>
      <c r="EC22" s="467"/>
      <c r="ED22" s="467"/>
      <c r="EE22" s="467"/>
      <c r="EF22" s="467"/>
      <c r="EH22" s="467"/>
      <c r="EI22" s="467"/>
      <c r="EJ22" s="467"/>
      <c r="EK22" s="467"/>
      <c r="EM22" s="467"/>
      <c r="EN22" s="467"/>
      <c r="EO22" s="467"/>
      <c r="EP22" s="467"/>
      <c r="ER22" s="467">
        <f t="shared" si="36"/>
        <v>29677</v>
      </c>
      <c r="ES22" s="467">
        <f t="shared" si="37"/>
        <v>41512</v>
      </c>
      <c r="ET22" s="467">
        <f t="shared" si="38"/>
        <v>53342</v>
      </c>
      <c r="EU22" s="467">
        <f t="shared" si="39"/>
        <v>2758401</v>
      </c>
      <c r="EW22" s="467">
        <v>445956</v>
      </c>
      <c r="EX22" s="467">
        <v>178126</v>
      </c>
      <c r="EY22" s="467">
        <v>96406</v>
      </c>
      <c r="EZ22" s="467">
        <v>2758401</v>
      </c>
      <c r="FB22" s="467">
        <v>65771</v>
      </c>
      <c r="FC22" s="467">
        <v>-2979</v>
      </c>
      <c r="FD22" s="467">
        <v>-34472</v>
      </c>
      <c r="FE22" s="467">
        <f t="shared" si="40"/>
        <v>2758401</v>
      </c>
      <c r="FG22" s="467">
        <v>416279</v>
      </c>
      <c r="FH22" s="467">
        <v>136614</v>
      </c>
      <c r="FI22" s="467">
        <v>43064</v>
      </c>
      <c r="FJ22" s="467">
        <v>2758401</v>
      </c>
      <c r="FL22" s="467">
        <f t="shared" si="41"/>
        <v>124815</v>
      </c>
      <c r="FM22" s="468">
        <f t="shared" si="41"/>
        <v>31596</v>
      </c>
      <c r="FN22" s="467">
        <f t="shared" si="41"/>
        <v>21</v>
      </c>
      <c r="FO22" s="467">
        <v>2758401</v>
      </c>
      <c r="FQ22" s="467">
        <v>350508</v>
      </c>
      <c r="FR22" s="468">
        <v>139593</v>
      </c>
      <c r="FS22" s="467">
        <v>77536</v>
      </c>
      <c r="FT22" s="467">
        <v>2758401</v>
      </c>
      <c r="FV22" s="467">
        <v>225693</v>
      </c>
      <c r="FW22" s="468">
        <v>107997</v>
      </c>
      <c r="FX22" s="467">
        <v>77515</v>
      </c>
      <c r="FY22" s="467"/>
      <c r="FZ22" s="5"/>
      <c r="GA22" s="341"/>
      <c r="GB22" s="342"/>
      <c r="GC22" s="341"/>
      <c r="GD22" s="341"/>
      <c r="GF22" s="341"/>
      <c r="GG22" s="342"/>
      <c r="GH22" s="341"/>
      <c r="GI22" s="341"/>
      <c r="GK22" s="341"/>
      <c r="GL22" s="342"/>
      <c r="GM22" s="341"/>
      <c r="GN22" s="341"/>
      <c r="GP22" s="341"/>
      <c r="GQ22" s="342"/>
      <c r="GR22" s="341"/>
      <c r="GS22" s="341"/>
      <c r="GV22" s="341"/>
      <c r="GW22" s="342"/>
      <c r="GX22" s="341"/>
      <c r="GY22" s="341"/>
      <c r="HA22" s="341"/>
      <c r="HB22" s="342"/>
      <c r="HC22" s="341"/>
      <c r="HD22" s="341"/>
      <c r="HF22" s="341"/>
      <c r="HG22" s="342"/>
      <c r="HH22" s="341"/>
      <c r="HI22" s="341"/>
      <c r="HK22" s="341"/>
      <c r="HL22" s="341"/>
      <c r="HM22" s="341"/>
      <c r="HN22" s="341"/>
      <c r="HP22" s="341"/>
      <c r="HQ22" s="342"/>
      <c r="HR22" s="341"/>
      <c r="HS22" s="341"/>
      <c r="HU22" s="341"/>
      <c r="HV22" s="342"/>
      <c r="HW22" s="341"/>
      <c r="HX22" s="341"/>
      <c r="HZ22" s="341"/>
      <c r="IA22" s="342"/>
      <c r="IB22" s="341"/>
      <c r="IC22" s="341"/>
      <c r="IE22" s="166"/>
      <c r="IF22" s="319"/>
      <c r="IG22" s="166"/>
      <c r="IH22" s="166"/>
      <c r="IJ22" s="166"/>
      <c r="IK22" s="319"/>
      <c r="IL22" s="166"/>
      <c r="IM22" s="166"/>
      <c r="IO22" s="156"/>
      <c r="IP22" s="183"/>
      <c r="IQ22" s="156"/>
      <c r="IR22" s="156"/>
      <c r="IT22" s="156"/>
      <c r="IU22" s="156"/>
      <c r="IV22" s="156"/>
      <c r="IW22" s="156"/>
      <c r="IY22" s="156"/>
      <c r="IZ22" s="183"/>
      <c r="JA22" s="156"/>
      <c r="JB22" s="156"/>
      <c r="JC22" s="157"/>
      <c r="JD22" s="156"/>
      <c r="JE22" s="156"/>
      <c r="JF22" s="156"/>
      <c r="JG22" s="156"/>
      <c r="JH22" s="156"/>
      <c r="JI22" s="156"/>
      <c r="JJ22" s="156"/>
      <c r="JK22" s="156"/>
      <c r="JL22" s="156"/>
      <c r="JM22" s="157"/>
      <c r="JN22" s="156"/>
      <c r="JO22" s="156"/>
      <c r="JP22" s="156"/>
      <c r="JQ22" s="156"/>
      <c r="JR22" s="157"/>
      <c r="JS22" s="156"/>
      <c r="JT22" s="156"/>
      <c r="JU22" s="156"/>
      <c r="JV22" s="156"/>
      <c r="JW22" s="157"/>
      <c r="JX22" s="156"/>
      <c r="JY22" s="156"/>
      <c r="JZ22" s="156"/>
      <c r="KA22" s="156"/>
      <c r="KB22" s="157"/>
      <c r="KC22" s="156"/>
      <c r="KD22" s="156"/>
      <c r="KE22" s="156"/>
      <c r="KF22" s="156"/>
      <c r="KG22" s="157"/>
      <c r="KH22" s="156"/>
      <c r="KI22" s="156"/>
      <c r="KJ22" s="156"/>
      <c r="KK22" s="156"/>
      <c r="KL22" s="157"/>
      <c r="KM22" s="156"/>
      <c r="KN22" s="156"/>
      <c r="KO22" s="156"/>
      <c r="KP22" s="156"/>
      <c r="KQ22" s="157"/>
      <c r="KR22" s="156"/>
      <c r="KS22" s="156"/>
      <c r="KT22" s="156"/>
      <c r="KU22" s="156"/>
      <c r="KV22" s="157"/>
      <c r="KW22" s="156"/>
      <c r="KX22" s="156"/>
      <c r="KY22" s="156"/>
      <c r="KZ22" s="156"/>
      <c r="LA22" s="157"/>
      <c r="LB22" s="156"/>
      <c r="LC22" s="156"/>
      <c r="LD22" s="156"/>
      <c r="LE22" s="156"/>
      <c r="LF22" s="157"/>
      <c r="LG22" s="156"/>
      <c r="LH22" s="156"/>
      <c r="LI22" s="156"/>
      <c r="LJ22" s="156"/>
      <c r="LK22" s="157"/>
      <c r="LL22" s="156"/>
      <c r="LM22" s="156"/>
      <c r="LN22" s="156"/>
      <c r="LO22" s="156"/>
      <c r="LP22" s="163"/>
      <c r="LQ22" s="156"/>
      <c r="LR22" s="156"/>
      <c r="LS22" s="156"/>
      <c r="LT22" s="156"/>
      <c r="LU22" s="163"/>
      <c r="LV22" s="156"/>
      <c r="LW22" s="156"/>
      <c r="LX22" s="156"/>
      <c r="LY22" s="156"/>
      <c r="LZ22" s="157"/>
      <c r="MA22" s="156"/>
      <c r="MB22" s="156"/>
      <c r="MC22" s="156"/>
      <c r="MD22" s="156"/>
      <c r="ME22" s="157"/>
      <c r="MF22" s="156"/>
      <c r="MG22" s="156"/>
      <c r="MH22" s="156"/>
      <c r="MI22" s="156"/>
      <c r="MJ22" s="157"/>
      <c r="MK22" s="156"/>
      <c r="ML22" s="156"/>
      <c r="MM22" s="156"/>
      <c r="MN22" s="156"/>
      <c r="MO22" s="157"/>
      <c r="MP22" s="156"/>
      <c r="MQ22" s="156"/>
      <c r="MR22" s="156"/>
      <c r="MS22" s="156"/>
      <c r="MT22" s="157"/>
      <c r="MU22" s="163" t="s">
        <v>83</v>
      </c>
      <c r="MV22" s="156">
        <v>204495</v>
      </c>
      <c r="MW22" s="156">
        <v>135563</v>
      </c>
      <c r="MX22" s="156">
        <v>92978</v>
      </c>
      <c r="MY22" s="156">
        <v>1944940</v>
      </c>
      <c r="MZ22" s="157"/>
      <c r="NA22" s="156">
        <v>128900</v>
      </c>
      <c r="NB22" s="156">
        <v>83842</v>
      </c>
      <c r="NC22" s="156">
        <v>56875</v>
      </c>
      <c r="ND22" s="156">
        <v>1944940</v>
      </c>
      <c r="NE22" s="157"/>
      <c r="NF22" s="156">
        <v>92455</v>
      </c>
      <c r="NG22" s="156">
        <v>62060</v>
      </c>
      <c r="NH22" s="156">
        <v>43969</v>
      </c>
      <c r="NI22" s="156">
        <v>1944940</v>
      </c>
      <c r="NJ22" s="157"/>
      <c r="NK22" s="157"/>
      <c r="NL22" s="157"/>
      <c r="NM22" s="157"/>
      <c r="NN22" s="157"/>
      <c r="NO22" s="157"/>
      <c r="NP22" s="157"/>
      <c r="NQ22" s="157"/>
      <c r="NR22" s="157"/>
      <c r="NS22" s="157"/>
      <c r="NT22" s="157"/>
      <c r="NU22" s="157"/>
      <c r="NV22" s="157"/>
      <c r="NW22" s="157"/>
      <c r="NX22" s="157"/>
      <c r="NY22" s="157"/>
      <c r="NZ22" s="157"/>
      <c r="OA22" s="157"/>
      <c r="OB22" s="157"/>
      <c r="OC22" s="157"/>
      <c r="OD22" s="157"/>
      <c r="OE22" s="157"/>
      <c r="OF22" s="157"/>
      <c r="OG22" s="157"/>
      <c r="OH22" s="157"/>
      <c r="OI22" s="157"/>
      <c r="OJ22" s="157"/>
      <c r="OK22" s="157"/>
      <c r="OL22" s="157"/>
      <c r="OM22" s="157"/>
      <c r="ON22" s="157"/>
      <c r="OO22" s="157"/>
      <c r="OP22" s="157"/>
      <c r="OQ22" s="157"/>
      <c r="OR22" s="157"/>
      <c r="OS22" s="157"/>
      <c r="OT22" s="157"/>
      <c r="OU22" s="157"/>
      <c r="OV22" s="157"/>
      <c r="OW22" s="157"/>
      <c r="OX22" s="157"/>
      <c r="OY22" s="157"/>
      <c r="OZ22" s="157"/>
      <c r="PA22" s="157"/>
    </row>
    <row r="23" spans="1:417">
      <c r="A23" s="307" t="s">
        <v>879</v>
      </c>
      <c r="C23" s="611"/>
      <c r="D23" s="611"/>
      <c r="E23" s="611"/>
      <c r="F23" s="611"/>
      <c r="H23" s="611"/>
      <c r="I23" s="611"/>
      <c r="J23" s="611"/>
      <c r="K23" s="611"/>
      <c r="M23" s="611"/>
      <c r="N23" s="611"/>
      <c r="O23" s="611"/>
      <c r="P23" s="611"/>
      <c r="R23" s="611">
        <f>([5]segmenty!$H$47)*1000</f>
        <v>-15038000</v>
      </c>
      <c r="S23" s="611">
        <f>([5]segmenty!$H$72)*1000</f>
        <v>15000</v>
      </c>
      <c r="T23" s="611">
        <f>([5]segmenty!$H$69)*1000</f>
        <v>17000</v>
      </c>
      <c r="U23" s="611">
        <f>([5]segmenty!$H$63)*1000</f>
        <v>1748000</v>
      </c>
      <c r="W23" s="611">
        <f>('[5]segmenty 3 m-ce'!$H$100)*1000</f>
        <v>-3165000</v>
      </c>
      <c r="X23" s="611">
        <f>('[5]segmenty 3 m-ce'!$H$115)*1000</f>
        <v>-34000</v>
      </c>
      <c r="Y23" s="611">
        <f>('[5]segmenty 3 m-ce'!$H$112)*1000</f>
        <v>-32000</v>
      </c>
      <c r="Z23" s="611">
        <f t="shared" ref="Z23" si="51">U23</f>
        <v>1748000</v>
      </c>
      <c r="AB23" s="611">
        <f>'[11]segmenty prez'!$H$45*1000</f>
        <v>-11873000</v>
      </c>
      <c r="AC23" s="611">
        <f>'[11]segmenty prez'!$H$52*1000</f>
        <v>49000</v>
      </c>
      <c r="AD23" s="611">
        <f>'[11]segmenty prez'!$H$48*1000</f>
        <v>49000</v>
      </c>
      <c r="AE23" s="611">
        <f>[11]segmenty!$H$63*1000</f>
        <v>1748000</v>
      </c>
      <c r="AG23" s="611">
        <f>'[11]segmenty 3 m-ce PREZ'!$H$38*1000</f>
        <v>-5145000</v>
      </c>
      <c r="AH23" s="611">
        <f>'[11]segmenty 3 m-ce PREZ'!$H$45*1000</f>
        <v>-36000</v>
      </c>
      <c r="AI23" s="611">
        <f>'[11]segmenty 3 m-ce PREZ'!$H$41*1000</f>
        <v>-37000</v>
      </c>
      <c r="AJ23" s="611">
        <f>AE23</f>
        <v>1748000</v>
      </c>
      <c r="AL23" s="611">
        <f>'[6]segmenty prez'!$G$45*1000</f>
        <v>-6685000</v>
      </c>
      <c r="AM23" s="611">
        <f>'[6]segmenty prez'!$G$52*1000</f>
        <v>85000</v>
      </c>
      <c r="AN23" s="611">
        <f>'[6]segmenty prez'!$G$48*1000</f>
        <v>86000</v>
      </c>
      <c r="AO23" s="611">
        <f>'[6]segmenty prez'!$G$63*1000</f>
        <v>1748000</v>
      </c>
      <c r="AQ23" s="611"/>
      <c r="AR23" s="611"/>
      <c r="AS23" s="611"/>
      <c r="AT23" s="611"/>
      <c r="AV23" s="611"/>
      <c r="AW23" s="611"/>
      <c r="AX23" s="611"/>
      <c r="AY23" s="611"/>
      <c r="BA23" s="611"/>
      <c r="BB23" s="611"/>
      <c r="BC23" s="611"/>
      <c r="BD23" s="611"/>
      <c r="BF23" s="611"/>
      <c r="BG23" s="611"/>
      <c r="BH23" s="611"/>
      <c r="BI23" s="611"/>
      <c r="BK23" s="611"/>
      <c r="BL23" s="611"/>
      <c r="BM23" s="611"/>
      <c r="BN23" s="611"/>
      <c r="BP23" s="611"/>
      <c r="BQ23" s="611"/>
      <c r="BR23" s="611"/>
      <c r="BS23" s="611"/>
      <c r="BU23" s="611"/>
      <c r="BV23" s="611"/>
      <c r="BW23" s="611"/>
      <c r="BX23" s="611"/>
      <c r="BZ23" s="611"/>
      <c r="CA23" s="611"/>
      <c r="CB23" s="611"/>
      <c r="CC23" s="611"/>
      <c r="CE23" s="611"/>
      <c r="CF23" s="611"/>
      <c r="CG23" s="611"/>
      <c r="CH23" s="611"/>
      <c r="CJ23" s="469"/>
      <c r="CK23" s="469"/>
      <c r="CL23" s="469"/>
      <c r="CM23" s="469"/>
      <c r="CO23" s="469"/>
      <c r="CP23" s="469"/>
      <c r="CQ23" s="469"/>
      <c r="CR23" s="469"/>
      <c r="CT23" s="469"/>
      <c r="CU23" s="469"/>
      <c r="CV23" s="469"/>
      <c r="CW23" s="469"/>
      <c r="CY23" s="469"/>
      <c r="CZ23" s="469"/>
      <c r="DA23" s="469"/>
      <c r="DB23" s="469"/>
      <c r="DD23" s="469"/>
      <c r="DE23" s="469"/>
      <c r="DF23" s="469"/>
      <c r="DG23" s="469"/>
      <c r="DI23" s="469"/>
      <c r="DJ23" s="469"/>
      <c r="DK23" s="469"/>
      <c r="DL23" s="469"/>
      <c r="DN23" s="469"/>
      <c r="DO23" s="469"/>
      <c r="DP23" s="469"/>
      <c r="DQ23" s="469"/>
      <c r="DS23" s="469"/>
      <c r="DT23" s="469"/>
      <c r="DU23" s="469"/>
      <c r="DV23" s="469"/>
      <c r="DX23" s="469"/>
      <c r="DY23" s="469"/>
      <c r="DZ23" s="469"/>
      <c r="EA23" s="469"/>
      <c r="EC23" s="469"/>
      <c r="ED23" s="469"/>
      <c r="EE23" s="469"/>
      <c r="EF23" s="469"/>
      <c r="EH23" s="469"/>
      <c r="EI23" s="469"/>
      <c r="EJ23" s="469"/>
      <c r="EK23" s="469"/>
      <c r="EM23" s="469"/>
      <c r="EN23" s="469"/>
      <c r="EO23" s="469"/>
      <c r="EP23" s="469"/>
      <c r="ER23" s="469"/>
      <c r="ES23" s="469"/>
      <c r="ET23" s="469"/>
      <c r="EU23" s="469"/>
      <c r="EW23" s="469"/>
      <c r="EX23" s="469"/>
      <c r="EY23" s="469"/>
      <c r="EZ23" s="469"/>
      <c r="FB23" s="469"/>
      <c r="FC23" s="469"/>
      <c r="FD23" s="469"/>
      <c r="FE23" s="469"/>
      <c r="FG23" s="469"/>
      <c r="FH23" s="469"/>
      <c r="FI23" s="469"/>
      <c r="FJ23" s="469"/>
      <c r="FL23" s="469"/>
      <c r="FM23" s="470"/>
      <c r="FN23" s="469"/>
      <c r="FO23" s="469"/>
      <c r="FQ23" s="469"/>
      <c r="FR23" s="470"/>
      <c r="FS23" s="469"/>
      <c r="FT23" s="469"/>
      <c r="FV23" s="469"/>
      <c r="FW23" s="470"/>
      <c r="FX23" s="469"/>
      <c r="FY23" s="469"/>
      <c r="FZ23" s="5"/>
      <c r="GA23" s="343"/>
      <c r="GB23" s="344"/>
      <c r="GC23" s="343"/>
      <c r="GD23" s="343"/>
      <c r="GF23" s="343"/>
      <c r="GG23" s="344"/>
      <c r="GH23" s="343"/>
      <c r="GI23" s="343"/>
      <c r="GK23" s="343"/>
      <c r="GL23" s="344"/>
      <c r="GM23" s="343"/>
      <c r="GN23" s="343"/>
      <c r="GP23" s="343"/>
      <c r="GQ23" s="344"/>
      <c r="GR23" s="343"/>
      <c r="GS23" s="343"/>
      <c r="GV23" s="343"/>
      <c r="GW23" s="344"/>
      <c r="GX23" s="343"/>
      <c r="GY23" s="343"/>
      <c r="HA23" s="343"/>
      <c r="HB23" s="344"/>
      <c r="HC23" s="343"/>
      <c r="HD23" s="343"/>
      <c r="HF23" s="343"/>
      <c r="HG23" s="344"/>
      <c r="HH23" s="343"/>
      <c r="HI23" s="343"/>
      <c r="HK23" s="343"/>
      <c r="HL23" s="343"/>
      <c r="HM23" s="343"/>
      <c r="HN23" s="343"/>
      <c r="HP23" s="343"/>
      <c r="HQ23" s="344"/>
      <c r="HR23" s="343"/>
      <c r="HS23" s="343"/>
      <c r="HU23" s="343"/>
      <c r="HV23" s="344"/>
      <c r="HW23" s="343"/>
      <c r="HX23" s="343"/>
      <c r="HZ23" s="343"/>
      <c r="IA23" s="344"/>
      <c r="IB23" s="343"/>
      <c r="IC23" s="343"/>
      <c r="IE23" s="320"/>
      <c r="IF23" s="321"/>
      <c r="IG23" s="320"/>
      <c r="IH23" s="320"/>
      <c r="IJ23" s="320"/>
      <c r="IK23" s="321"/>
      <c r="IL23" s="320"/>
      <c r="IM23" s="320"/>
      <c r="IO23" s="181"/>
      <c r="IP23" s="184"/>
      <c r="IQ23" s="181"/>
      <c r="IR23" s="181"/>
      <c r="IT23" s="181"/>
      <c r="IU23" s="181"/>
      <c r="IV23" s="181"/>
      <c r="IW23" s="181"/>
      <c r="IY23" s="181"/>
      <c r="IZ23" s="184"/>
      <c r="JA23" s="181"/>
      <c r="JB23" s="181"/>
      <c r="JC23" s="157"/>
      <c r="JD23" s="181"/>
      <c r="JE23" s="181"/>
      <c r="JF23" s="181"/>
      <c r="JG23" s="181"/>
      <c r="JH23" s="181"/>
      <c r="JI23" s="181"/>
      <c r="JJ23" s="181"/>
      <c r="JK23" s="181"/>
      <c r="JL23" s="181"/>
      <c r="JM23" s="157"/>
      <c r="JN23" s="181"/>
      <c r="JO23" s="181"/>
      <c r="JP23" s="181"/>
      <c r="JQ23" s="181"/>
      <c r="JR23" s="157"/>
      <c r="JS23" s="181"/>
      <c r="JT23" s="181"/>
      <c r="JU23" s="181"/>
      <c r="JV23" s="181"/>
      <c r="JW23" s="157"/>
      <c r="JX23" s="181"/>
      <c r="JY23" s="181"/>
      <c r="JZ23" s="181"/>
      <c r="KA23" s="181"/>
      <c r="KB23" s="157"/>
      <c r="KC23" s="181"/>
      <c r="KD23" s="181"/>
      <c r="KE23" s="181"/>
      <c r="KF23" s="181"/>
      <c r="KG23" s="157"/>
      <c r="KH23" s="181"/>
      <c r="KI23" s="181"/>
      <c r="KJ23" s="181"/>
      <c r="KK23" s="181"/>
      <c r="KL23" s="157"/>
      <c r="KM23" s="181"/>
      <c r="KN23" s="181"/>
      <c r="KO23" s="181"/>
      <c r="KP23" s="181"/>
      <c r="KQ23" s="157"/>
      <c r="KR23" s="181"/>
      <c r="KS23" s="181"/>
      <c r="KT23" s="181"/>
      <c r="KU23" s="181"/>
      <c r="KV23" s="157"/>
      <c r="KW23" s="181"/>
      <c r="KX23" s="181"/>
      <c r="KY23" s="181"/>
      <c r="KZ23" s="181"/>
      <c r="LA23" s="157"/>
      <c r="LB23" s="181"/>
      <c r="LC23" s="181"/>
      <c r="LD23" s="181"/>
      <c r="LE23" s="181"/>
      <c r="LF23" s="157"/>
      <c r="LG23" s="181"/>
      <c r="LH23" s="181"/>
      <c r="LI23" s="181"/>
      <c r="LJ23" s="181"/>
      <c r="LK23" s="157"/>
      <c r="LL23" s="181"/>
      <c r="LM23" s="181"/>
      <c r="LN23" s="181"/>
      <c r="LO23" s="181"/>
      <c r="LP23" s="163"/>
      <c r="LQ23" s="181"/>
      <c r="LR23" s="181"/>
      <c r="LS23" s="181"/>
      <c r="LT23" s="181"/>
      <c r="LU23" s="163"/>
      <c r="LV23" s="181"/>
      <c r="LW23" s="181"/>
      <c r="LX23" s="181"/>
      <c r="LY23" s="181"/>
      <c r="LZ23" s="157"/>
      <c r="MA23" s="181"/>
      <c r="MB23" s="181"/>
      <c r="MC23" s="181"/>
      <c r="MD23" s="181"/>
      <c r="ME23" s="157"/>
      <c r="MF23" s="181"/>
      <c r="MG23" s="181"/>
      <c r="MH23" s="181"/>
      <c r="MI23" s="181"/>
      <c r="MJ23" s="157"/>
      <c r="MK23" s="181"/>
      <c r="ML23" s="181"/>
      <c r="MM23" s="181"/>
      <c r="MN23" s="181"/>
      <c r="MO23" s="157"/>
      <c r="MP23" s="181"/>
      <c r="MQ23" s="181"/>
      <c r="MR23" s="181"/>
      <c r="MS23" s="181"/>
      <c r="MT23" s="157"/>
      <c r="MU23" s="163" t="s">
        <v>84</v>
      </c>
      <c r="MV23" s="156">
        <v>1337722</v>
      </c>
      <c r="MW23" s="156">
        <v>235453</v>
      </c>
      <c r="MX23" s="156">
        <v>110909</v>
      </c>
      <c r="MY23" s="180">
        <v>2169616</v>
      </c>
      <c r="MZ23" s="157"/>
      <c r="NA23" s="156">
        <v>925675</v>
      </c>
      <c r="NB23" s="156">
        <v>164893</v>
      </c>
      <c r="NC23" s="156">
        <v>76101</v>
      </c>
      <c r="ND23" s="180">
        <v>2169616</v>
      </c>
      <c r="NE23" s="157"/>
      <c r="NF23" s="156">
        <v>716398</v>
      </c>
      <c r="NG23" s="156">
        <v>132718</v>
      </c>
      <c r="NH23" s="156">
        <v>74944</v>
      </c>
      <c r="NI23" s="180">
        <v>2169616</v>
      </c>
      <c r="NJ23" s="157"/>
      <c r="NK23" s="157"/>
      <c r="NL23" s="157"/>
      <c r="NM23" s="157"/>
      <c r="NN23" s="157"/>
      <c r="NO23" s="157"/>
      <c r="NP23" s="157"/>
      <c r="NQ23" s="157"/>
      <c r="NR23" s="157"/>
      <c r="NS23" s="157"/>
      <c r="NT23" s="157"/>
      <c r="NU23" s="157"/>
      <c r="NV23" s="157"/>
      <c r="NW23" s="157"/>
      <c r="NX23" s="157"/>
      <c r="NY23" s="157"/>
      <c r="NZ23" s="157"/>
      <c r="OA23" s="157"/>
      <c r="OB23" s="157"/>
      <c r="OC23" s="157"/>
      <c r="OD23" s="157"/>
      <c r="OE23" s="157"/>
      <c r="OF23" s="157"/>
      <c r="OG23" s="157"/>
      <c r="OH23" s="157"/>
      <c r="OI23" s="157"/>
      <c r="OJ23" s="157"/>
      <c r="OK23" s="157"/>
      <c r="OL23" s="157"/>
      <c r="OM23" s="157"/>
      <c r="ON23" s="157"/>
      <c r="OO23" s="157"/>
      <c r="OP23" s="157"/>
      <c r="OQ23" s="157"/>
      <c r="OR23" s="157"/>
      <c r="OS23" s="157"/>
      <c r="OT23" s="157"/>
      <c r="OU23" s="157"/>
      <c r="OV23" s="157"/>
      <c r="OW23" s="157"/>
      <c r="OX23" s="157"/>
      <c r="OY23" s="157"/>
      <c r="OZ23" s="157"/>
      <c r="PA23" s="157"/>
    </row>
    <row r="24" spans="1:417">
      <c r="IT24" s="157"/>
      <c r="IU24" s="157"/>
      <c r="IV24" s="157"/>
      <c r="IW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57"/>
      <c r="MG24" s="157"/>
      <c r="MH24" s="157"/>
      <c r="MI24" s="157"/>
      <c r="MJ24" s="157"/>
      <c r="MK24" s="157"/>
      <c r="ML24" s="157"/>
      <c r="MM24" s="157"/>
      <c r="MN24" s="157"/>
      <c r="MO24" s="157"/>
      <c r="MP24" s="157"/>
      <c r="MQ24" s="157"/>
      <c r="MR24" s="157"/>
      <c r="MS24" s="157"/>
      <c r="MT24" s="157"/>
      <c r="MU24" s="163" t="s">
        <v>85</v>
      </c>
      <c r="MV24" s="156">
        <v>5997470</v>
      </c>
      <c r="MW24" s="156">
        <v>2208381</v>
      </c>
      <c r="MX24" s="156">
        <v>1295639</v>
      </c>
      <c r="MY24" s="180">
        <v>14002290</v>
      </c>
      <c r="MZ24" s="157"/>
      <c r="NA24" s="156">
        <v>4451191</v>
      </c>
      <c r="NB24" s="156">
        <v>1700695</v>
      </c>
      <c r="NC24" s="156">
        <v>1024329</v>
      </c>
      <c r="ND24" s="180">
        <v>14002290</v>
      </c>
      <c r="NE24" s="157"/>
      <c r="NF24" s="156">
        <v>3010804</v>
      </c>
      <c r="NG24" s="156">
        <v>1104102</v>
      </c>
      <c r="NH24" s="156">
        <v>656155</v>
      </c>
      <c r="NI24" s="180">
        <v>14002290</v>
      </c>
      <c r="NJ24" s="157"/>
      <c r="NK24" s="157"/>
      <c r="NL24" s="157"/>
      <c r="NM24" s="157"/>
      <c r="NN24" s="157"/>
      <c r="NO24" s="157"/>
      <c r="NP24" s="157"/>
      <c r="NQ24" s="157"/>
      <c r="NR24" s="157"/>
      <c r="NS24" s="157"/>
      <c r="NT24" s="157"/>
      <c r="NU24" s="157"/>
      <c r="NV24" s="157"/>
      <c r="NW24" s="157"/>
      <c r="NX24" s="157"/>
      <c r="NY24" s="157"/>
      <c r="NZ24" s="157"/>
      <c r="OA24" s="157"/>
      <c r="OB24" s="157"/>
      <c r="OC24" s="157"/>
      <c r="OD24" s="157"/>
      <c r="OE24" s="157"/>
      <c r="OF24" s="157"/>
      <c r="OG24" s="157"/>
      <c r="OH24" s="157"/>
      <c r="OI24" s="157"/>
      <c r="OJ24" s="157"/>
      <c r="OK24" s="157"/>
      <c r="OL24" s="157"/>
      <c r="OM24" s="157"/>
      <c r="ON24" s="157"/>
      <c r="OO24" s="157"/>
      <c r="OP24" s="157"/>
      <c r="OQ24" s="157"/>
      <c r="OR24" s="157"/>
      <c r="OS24" s="157"/>
      <c r="OT24" s="157"/>
      <c r="OU24" s="157"/>
      <c r="OV24" s="157"/>
      <c r="OW24" s="157"/>
      <c r="OX24" s="157"/>
      <c r="OY24" s="157"/>
      <c r="OZ24" s="157"/>
      <c r="PA24" s="157"/>
    </row>
    <row r="25" spans="1:417">
      <c r="IT25" s="157"/>
      <c r="IU25" s="157"/>
      <c r="IV25" s="157"/>
      <c r="IW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  <c r="MJ25" s="157"/>
      <c r="MK25" s="157"/>
      <c r="ML25" s="157"/>
      <c r="MM25" s="157"/>
      <c r="MN25" s="157"/>
      <c r="MO25" s="157"/>
      <c r="MP25" s="157"/>
      <c r="MQ25" s="157"/>
      <c r="MR25" s="157"/>
      <c r="MS25" s="157"/>
      <c r="MT25" s="157"/>
      <c r="MU25" s="163" t="s">
        <v>86</v>
      </c>
      <c r="MV25" s="156">
        <v>18017593</v>
      </c>
      <c r="MW25" s="156">
        <v>899208</v>
      </c>
      <c r="MX25" s="156">
        <v>864579</v>
      </c>
      <c r="MY25" s="180">
        <v>3111539</v>
      </c>
      <c r="MZ25" s="157"/>
      <c r="NA25" s="156">
        <v>13301459</v>
      </c>
      <c r="NB25" s="156">
        <v>747154</v>
      </c>
      <c r="NC25" s="156">
        <v>721007</v>
      </c>
      <c r="ND25" s="180">
        <v>3111539</v>
      </c>
      <c r="NE25" s="157"/>
      <c r="NF25" s="156">
        <v>8993554</v>
      </c>
      <c r="NG25" s="156">
        <v>595731</v>
      </c>
      <c r="NH25" s="156">
        <v>578520</v>
      </c>
      <c r="NI25" s="180">
        <v>3111539</v>
      </c>
      <c r="NJ25" s="157"/>
      <c r="NK25" s="157"/>
      <c r="NL25" s="157"/>
      <c r="NM25" s="157"/>
      <c r="NN25" s="157"/>
      <c r="NO25" s="157"/>
      <c r="NP25" s="157"/>
      <c r="NQ25" s="157"/>
      <c r="NR25" s="157"/>
      <c r="NS25" s="157"/>
      <c r="NT25" s="157"/>
      <c r="NU25" s="157"/>
      <c r="NV25" s="157"/>
      <c r="NW25" s="157"/>
      <c r="NX25" s="157"/>
      <c r="NY25" s="157"/>
      <c r="NZ25" s="157"/>
      <c r="OA25" s="157"/>
      <c r="OB25" s="157"/>
      <c r="OC25" s="157"/>
      <c r="OD25" s="157"/>
      <c r="OE25" s="157"/>
      <c r="OF25" s="157"/>
      <c r="OG25" s="157"/>
      <c r="OH25" s="157"/>
      <c r="OI25" s="157"/>
      <c r="OJ25" s="157"/>
      <c r="OK25" s="157"/>
      <c r="OL25" s="157"/>
      <c r="OM25" s="157"/>
      <c r="ON25" s="157"/>
      <c r="OO25" s="157"/>
      <c r="OP25" s="157"/>
      <c r="OQ25" s="157"/>
      <c r="OR25" s="157"/>
      <c r="OS25" s="157"/>
      <c r="OT25" s="157"/>
      <c r="OU25" s="157"/>
      <c r="OV25" s="157"/>
      <c r="OW25" s="157"/>
      <c r="OX25" s="157"/>
      <c r="OY25" s="157"/>
      <c r="OZ25" s="157"/>
      <c r="PA25" s="157"/>
    </row>
    <row r="26" spans="1:417">
      <c r="IT26" s="157"/>
      <c r="IU26" s="157"/>
      <c r="IV26" s="157"/>
      <c r="IW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  <c r="ML26" s="157"/>
      <c r="MM26" s="157"/>
      <c r="MN26" s="157"/>
      <c r="MO26" s="157"/>
      <c r="MP26" s="157"/>
      <c r="MQ26" s="157"/>
      <c r="MR26" s="157"/>
      <c r="MS26" s="157"/>
      <c r="MT26" s="157"/>
      <c r="MU26" s="163" t="s">
        <v>87</v>
      </c>
      <c r="MV26" s="156">
        <v>492583</v>
      </c>
      <c r="MW26" s="156">
        <v>45283</v>
      </c>
      <c r="MX26" s="156">
        <v>26837</v>
      </c>
      <c r="MY26" s="156">
        <v>183519</v>
      </c>
      <c r="MZ26" s="157"/>
      <c r="NA26" s="156">
        <v>374979</v>
      </c>
      <c r="NB26" s="156">
        <v>71552</v>
      </c>
      <c r="NC26" s="156">
        <v>59678</v>
      </c>
      <c r="ND26" s="156">
        <v>183519</v>
      </c>
      <c r="NE26" s="157"/>
      <c r="NF26" s="156">
        <v>235207</v>
      </c>
      <c r="NG26" s="156">
        <v>33659</v>
      </c>
      <c r="NH26" s="156">
        <v>26904</v>
      </c>
      <c r="NI26" s="156">
        <v>183519</v>
      </c>
      <c r="NJ26" s="157"/>
      <c r="NK26" s="157"/>
      <c r="NL26" s="157"/>
      <c r="NM26" s="157"/>
      <c r="NN26" s="157"/>
      <c r="NO26" s="157"/>
      <c r="NP26" s="157"/>
      <c r="NQ26" s="157"/>
      <c r="NR26" s="157"/>
      <c r="NS26" s="157"/>
      <c r="NT26" s="157"/>
      <c r="NU26" s="157"/>
      <c r="NV26" s="157"/>
      <c r="NW26" s="157"/>
      <c r="NX26" s="157"/>
      <c r="NY26" s="157"/>
      <c r="NZ26" s="157"/>
      <c r="OA26" s="157"/>
      <c r="OB26" s="157"/>
      <c r="OC26" s="157"/>
      <c r="OD26" s="157"/>
      <c r="OE26" s="157"/>
      <c r="OF26" s="157"/>
      <c r="OG26" s="157"/>
      <c r="OH26" s="157"/>
      <c r="OI26" s="157"/>
      <c r="OJ26" s="157"/>
      <c r="OK26" s="157"/>
      <c r="OL26" s="157"/>
      <c r="OM26" s="157"/>
      <c r="ON26" s="157"/>
      <c r="OO26" s="157"/>
      <c r="OP26" s="157"/>
      <c r="OQ26" s="157"/>
      <c r="OR26" s="157"/>
      <c r="OS26" s="157"/>
      <c r="OT26" s="157"/>
      <c r="OU26" s="157"/>
      <c r="OV26" s="157"/>
      <c r="OW26" s="157"/>
      <c r="OX26" s="157"/>
      <c r="OY26" s="157"/>
      <c r="OZ26" s="157"/>
      <c r="PA26" s="157"/>
    </row>
    <row r="27" spans="1:417">
      <c r="AV27" s="10">
        <v>1000</v>
      </c>
      <c r="BF27" s="10">
        <v>1000</v>
      </c>
      <c r="IT27" s="157"/>
      <c r="IU27" s="157"/>
      <c r="IV27" s="157"/>
      <c r="IW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  <c r="ML27" s="157"/>
      <c r="MM27" s="157"/>
      <c r="MN27" s="157"/>
      <c r="MO27" s="157"/>
      <c r="MP27" s="157"/>
      <c r="MQ27" s="157"/>
      <c r="MR27" s="157"/>
      <c r="MS27" s="157"/>
      <c r="MT27" s="157"/>
      <c r="MU27" s="173" t="s">
        <v>80</v>
      </c>
      <c r="MV27" s="170">
        <v>310212</v>
      </c>
      <c r="MW27" s="170">
        <v>17485</v>
      </c>
      <c r="MX27" s="170">
        <v>10816</v>
      </c>
      <c r="MY27" s="170">
        <v>170774</v>
      </c>
      <c r="MZ27" s="157"/>
      <c r="NA27" s="170">
        <v>233119</v>
      </c>
      <c r="NB27" s="170">
        <v>14099</v>
      </c>
      <c r="NC27" s="170">
        <v>7486</v>
      </c>
      <c r="ND27" s="170">
        <v>170774</v>
      </c>
      <c r="NE27" s="157"/>
      <c r="NF27" s="170">
        <v>165982</v>
      </c>
      <c r="NG27" s="170">
        <v>6191</v>
      </c>
      <c r="NH27" s="170">
        <v>1763</v>
      </c>
      <c r="NI27" s="170">
        <v>170774</v>
      </c>
      <c r="NJ27" s="157"/>
      <c r="NK27" s="157"/>
      <c r="NL27" s="157"/>
      <c r="NM27" s="157"/>
      <c r="NN27" s="157"/>
      <c r="NO27" s="157"/>
      <c r="NP27" s="157"/>
      <c r="NQ27" s="157"/>
      <c r="NR27" s="157"/>
      <c r="NS27" s="157"/>
      <c r="NT27" s="157"/>
      <c r="NU27" s="157"/>
      <c r="NV27" s="157"/>
      <c r="NW27" s="157"/>
      <c r="NX27" s="157"/>
      <c r="NY27" s="157"/>
      <c r="NZ27" s="157"/>
      <c r="OA27" s="157"/>
      <c r="OB27" s="157"/>
      <c r="OC27" s="157"/>
      <c r="OD27" s="157"/>
      <c r="OE27" s="157"/>
      <c r="OF27" s="157"/>
      <c r="OG27" s="157"/>
      <c r="OH27" s="157"/>
      <c r="OI27" s="157"/>
      <c r="OJ27" s="157"/>
      <c r="OK27" s="157"/>
      <c r="OL27" s="157"/>
      <c r="OM27" s="157"/>
      <c r="ON27" s="157"/>
      <c r="OO27" s="157"/>
      <c r="OP27" s="157"/>
      <c r="OQ27" s="157"/>
      <c r="OR27" s="157"/>
      <c r="OS27" s="157"/>
      <c r="OT27" s="157"/>
      <c r="OU27" s="157"/>
      <c r="OV27" s="157"/>
      <c r="OW27" s="157"/>
      <c r="OX27" s="157"/>
      <c r="OY27" s="157"/>
      <c r="OZ27" s="157"/>
      <c r="PA27" s="157"/>
    </row>
    <row r="28" spans="1:417">
      <c r="IT28" s="157"/>
      <c r="IU28" s="157"/>
      <c r="IV28" s="157"/>
      <c r="IW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  <c r="MT28" s="157"/>
      <c r="MU28" s="157"/>
      <c r="MV28" s="157"/>
      <c r="MW28" s="157"/>
      <c r="MX28" s="157"/>
      <c r="MY28" s="157"/>
      <c r="MZ28" s="157"/>
      <c r="NA28" s="157"/>
      <c r="NB28" s="157"/>
      <c r="NC28" s="157"/>
      <c r="ND28" s="157"/>
      <c r="NE28" s="157"/>
      <c r="NF28" s="157"/>
      <c r="NG28" s="157"/>
      <c r="NH28" s="157"/>
      <c r="NI28" s="157"/>
      <c r="NJ28" s="157"/>
      <c r="NK28" s="157"/>
      <c r="NL28" s="157"/>
      <c r="NM28" s="157"/>
      <c r="NN28" s="157"/>
      <c r="NO28" s="157"/>
      <c r="NP28" s="157"/>
      <c r="NQ28" s="157"/>
      <c r="NR28" s="157"/>
      <c r="NS28" s="157"/>
      <c r="NT28" s="157"/>
      <c r="NU28" s="157"/>
      <c r="NV28" s="157"/>
      <c r="NW28" s="157"/>
      <c r="NX28" s="157"/>
      <c r="NY28" s="157"/>
      <c r="NZ28" s="157"/>
      <c r="OA28" s="157"/>
      <c r="OB28" s="157"/>
      <c r="OC28" s="157"/>
      <c r="OD28" s="157"/>
      <c r="OE28" s="157"/>
      <c r="OF28" s="157"/>
      <c r="OG28" s="157"/>
      <c r="OH28" s="157"/>
      <c r="OI28" s="157"/>
      <c r="OJ28" s="157"/>
      <c r="OK28" s="157"/>
      <c r="OL28" s="157"/>
      <c r="OM28" s="157"/>
      <c r="ON28" s="157"/>
      <c r="OO28" s="157"/>
      <c r="OP28" s="157"/>
      <c r="OQ28" s="157"/>
      <c r="OR28" s="157"/>
      <c r="OS28" s="157"/>
      <c r="OT28" s="157"/>
      <c r="OU28" s="157"/>
      <c r="OV28" s="157"/>
      <c r="OW28" s="157"/>
      <c r="OX28" s="157"/>
      <c r="OY28" s="157"/>
      <c r="OZ28" s="157"/>
      <c r="PA28" s="157"/>
    </row>
    <row r="29" spans="1:417">
      <c r="IT29" s="157"/>
      <c r="IU29" s="157"/>
      <c r="IV29" s="157"/>
      <c r="IW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  <c r="MT29" s="157"/>
      <c r="MU29" s="157"/>
      <c r="MV29" s="157"/>
      <c r="MW29" s="157"/>
      <c r="MX29" s="157"/>
      <c r="MY29" s="157"/>
      <c r="MZ29" s="157"/>
      <c r="NA29" s="157"/>
      <c r="NB29" s="157"/>
      <c r="NC29" s="157"/>
      <c r="ND29" s="157"/>
      <c r="NE29" s="157"/>
      <c r="NF29" s="157"/>
      <c r="NG29" s="157"/>
      <c r="NH29" s="157"/>
      <c r="NI29" s="157"/>
      <c r="NJ29" s="157"/>
      <c r="NK29" s="157"/>
      <c r="NL29" s="157"/>
      <c r="NM29" s="157"/>
      <c r="NN29" s="157"/>
      <c r="NO29" s="157"/>
      <c r="NP29" s="157"/>
      <c r="NQ29" s="157"/>
      <c r="NR29" s="157"/>
      <c r="NS29" s="157"/>
      <c r="NT29" s="157"/>
      <c r="NU29" s="157"/>
      <c r="NV29" s="157"/>
      <c r="NW29" s="157"/>
      <c r="NX29" s="157"/>
      <c r="NY29" s="157"/>
      <c r="NZ29" s="157"/>
      <c r="OA29" s="157"/>
      <c r="OB29" s="157"/>
      <c r="OC29" s="157"/>
      <c r="OD29" s="157"/>
      <c r="OE29" s="157"/>
      <c r="OF29" s="157"/>
      <c r="OG29" s="157"/>
      <c r="OH29" s="157"/>
      <c r="OI29" s="157"/>
      <c r="OJ29" s="157"/>
      <c r="OK29" s="157"/>
      <c r="OL29" s="157"/>
      <c r="OM29" s="157"/>
      <c r="ON29" s="157"/>
      <c r="OO29" s="157"/>
      <c r="OP29" s="157"/>
      <c r="OQ29" s="157"/>
      <c r="OR29" s="157"/>
      <c r="OS29" s="157"/>
      <c r="OT29" s="157"/>
      <c r="OU29" s="157"/>
      <c r="OV29" s="157"/>
      <c r="OW29" s="157"/>
      <c r="OX29" s="157"/>
      <c r="OY29" s="157"/>
      <c r="OZ29" s="157"/>
      <c r="PA29" s="157"/>
    </row>
    <row r="30" spans="1:417">
      <c r="IT30" s="157"/>
      <c r="IU30" s="157"/>
      <c r="IV30" s="157"/>
      <c r="IW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  <c r="MT30" s="157"/>
      <c r="MU30" s="157"/>
      <c r="MV30" s="157"/>
      <c r="MW30" s="157"/>
      <c r="MX30" s="157"/>
      <c r="MY30" s="157"/>
      <c r="MZ30" s="157"/>
      <c r="NA30" s="157"/>
      <c r="NB30" s="157"/>
      <c r="NC30" s="157"/>
      <c r="ND30" s="157"/>
      <c r="NE30" s="157"/>
      <c r="NF30" s="157"/>
      <c r="NG30" s="157"/>
      <c r="NH30" s="157"/>
      <c r="NI30" s="157"/>
      <c r="NJ30" s="157"/>
      <c r="NK30" s="157"/>
      <c r="NL30" s="157"/>
      <c r="NM30" s="157"/>
      <c r="NN30" s="157"/>
      <c r="NO30" s="157"/>
      <c r="NP30" s="157"/>
      <c r="NQ30" s="157"/>
      <c r="NR30" s="157"/>
      <c r="NS30" s="157"/>
      <c r="NT30" s="157"/>
      <c r="NU30" s="157"/>
      <c r="NV30" s="157"/>
      <c r="NW30" s="157"/>
      <c r="NX30" s="157"/>
      <c r="NY30" s="157"/>
      <c r="NZ30" s="157"/>
      <c r="OA30" s="157"/>
      <c r="OB30" s="157"/>
      <c r="OC30" s="157"/>
      <c r="OD30" s="157"/>
      <c r="OE30" s="157"/>
      <c r="OF30" s="157"/>
      <c r="OG30" s="157"/>
      <c r="OH30" s="157"/>
      <c r="OI30" s="157"/>
      <c r="OJ30" s="157"/>
      <c r="OK30" s="157"/>
      <c r="OL30" s="157"/>
      <c r="OM30" s="157"/>
      <c r="ON30" s="157"/>
      <c r="OO30" s="157"/>
      <c r="OP30" s="157"/>
      <c r="OQ30" s="157"/>
      <c r="OR30" s="157"/>
      <c r="OS30" s="157"/>
      <c r="OT30" s="157"/>
      <c r="OU30" s="157"/>
      <c r="OV30" s="157"/>
      <c r="OW30" s="157"/>
      <c r="OX30" s="157"/>
      <c r="OY30" s="157"/>
      <c r="OZ30" s="157"/>
      <c r="PA30" s="157"/>
    </row>
    <row r="31" spans="1:417" ht="51">
      <c r="IT31" s="157"/>
      <c r="IU31" s="157"/>
      <c r="IV31" s="157"/>
      <c r="IW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  <c r="ML31" s="157"/>
      <c r="MM31" s="157"/>
      <c r="MN31" s="157"/>
      <c r="MO31" s="157"/>
      <c r="MP31" s="157"/>
      <c r="MQ31" s="157"/>
      <c r="MR31" s="157"/>
      <c r="MS31" s="157"/>
      <c r="MT31" s="157"/>
      <c r="MU31" s="178" t="s">
        <v>372</v>
      </c>
      <c r="MV31" s="160" t="s">
        <v>182</v>
      </c>
      <c r="MW31" s="160" t="s">
        <v>93</v>
      </c>
      <c r="MX31" s="160" t="s">
        <v>94</v>
      </c>
      <c r="MY31" s="160" t="s">
        <v>179</v>
      </c>
      <c r="MZ31" s="157"/>
      <c r="NA31" s="160" t="s">
        <v>187</v>
      </c>
      <c r="NB31" s="160" t="s">
        <v>188</v>
      </c>
      <c r="NC31" s="160" t="s">
        <v>189</v>
      </c>
      <c r="ND31" s="160" t="s">
        <v>191</v>
      </c>
      <c r="NE31" s="157"/>
      <c r="NF31" s="160" t="s">
        <v>193</v>
      </c>
      <c r="NG31" s="160" t="s">
        <v>99</v>
      </c>
      <c r="NH31" s="160" t="s">
        <v>100</v>
      </c>
      <c r="NI31" s="160" t="s">
        <v>196</v>
      </c>
      <c r="NJ31" s="157"/>
      <c r="NK31" s="157"/>
      <c r="NL31" s="157"/>
      <c r="NM31" s="157"/>
      <c r="NN31" s="157"/>
      <c r="NO31" s="157"/>
      <c r="NP31" s="157"/>
      <c r="NQ31" s="157"/>
      <c r="NR31" s="157"/>
      <c r="NS31" s="157"/>
      <c r="NT31" s="157"/>
      <c r="NU31" s="157"/>
      <c r="NV31" s="157"/>
      <c r="NW31" s="157"/>
      <c r="NX31" s="157"/>
      <c r="NY31" s="157"/>
      <c r="NZ31" s="157"/>
      <c r="OA31" s="157"/>
      <c r="OB31" s="157"/>
      <c r="OC31" s="157"/>
      <c r="OD31" s="157"/>
      <c r="OE31" s="157"/>
      <c r="OF31" s="157"/>
      <c r="OG31" s="157"/>
      <c r="OH31" s="157"/>
      <c r="OI31" s="157"/>
      <c r="OJ31" s="157"/>
      <c r="OK31" s="157"/>
      <c r="OL31" s="157"/>
      <c r="OM31" s="157"/>
      <c r="ON31" s="157"/>
      <c r="OO31" s="157"/>
      <c r="OP31" s="157"/>
      <c r="OQ31" s="157"/>
      <c r="OR31" s="157"/>
      <c r="OS31" s="157"/>
      <c r="OT31" s="157"/>
      <c r="OU31" s="157"/>
      <c r="OV31" s="157"/>
      <c r="OW31" s="157"/>
      <c r="OX31" s="157"/>
      <c r="OY31" s="157"/>
      <c r="OZ31" s="157"/>
      <c r="PA31" s="157"/>
    </row>
    <row r="32" spans="1:417">
      <c r="IT32" s="157"/>
      <c r="IU32" s="157"/>
      <c r="IV32" s="157"/>
      <c r="IW32" s="157"/>
      <c r="IY32" s="157"/>
      <c r="IZ32" s="157"/>
      <c r="JA32" s="157"/>
      <c r="JB32" s="157"/>
      <c r="JC32" s="157"/>
      <c r="JD32" s="157"/>
      <c r="JE32" s="157"/>
      <c r="JF32" s="157"/>
      <c r="JG32" s="157"/>
      <c r="JH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57"/>
      <c r="JY32" s="157"/>
      <c r="JZ32" s="157"/>
      <c r="KA32" s="157"/>
      <c r="KB32" s="157"/>
      <c r="KC32" s="157"/>
      <c r="KD32" s="157"/>
      <c r="KE32" s="157"/>
      <c r="KF32" s="157"/>
      <c r="KG32" s="157"/>
      <c r="KH32" s="157"/>
      <c r="KI32" s="157"/>
      <c r="KJ32" s="157"/>
      <c r="KK32" s="157"/>
      <c r="KL32" s="157"/>
      <c r="KM32" s="157"/>
      <c r="KN32" s="157"/>
      <c r="KO32" s="157"/>
      <c r="KP32" s="157"/>
      <c r="KQ32" s="157"/>
      <c r="KR32" s="157"/>
      <c r="KS32" s="157"/>
      <c r="KT32" s="157"/>
      <c r="KU32" s="157"/>
      <c r="KV32" s="157"/>
      <c r="KW32" s="157"/>
      <c r="KX32" s="157"/>
      <c r="KY32" s="157"/>
      <c r="KZ32" s="157"/>
      <c r="LA32" s="157"/>
      <c r="LB32" s="157"/>
      <c r="LC32" s="157"/>
      <c r="LD32" s="157"/>
      <c r="LE32" s="157"/>
      <c r="LF32" s="157"/>
      <c r="LG32" s="157"/>
      <c r="LH32" s="157"/>
      <c r="LI32" s="157"/>
      <c r="LJ32" s="157"/>
      <c r="LK32" s="157"/>
      <c r="LL32" s="157"/>
      <c r="LM32" s="157"/>
      <c r="LN32" s="157"/>
      <c r="LO32" s="157"/>
      <c r="LP32" s="157"/>
      <c r="LQ32" s="157"/>
      <c r="LR32" s="157"/>
      <c r="LS32" s="157"/>
      <c r="LT32" s="157"/>
      <c r="LU32" s="157"/>
      <c r="LV32" s="157"/>
      <c r="LW32" s="157"/>
      <c r="LX32" s="157"/>
      <c r="LY32" s="157"/>
      <c r="LZ32" s="157"/>
      <c r="MA32" s="157"/>
      <c r="MB32" s="157"/>
      <c r="MC32" s="157"/>
      <c r="MD32" s="157"/>
      <c r="ME32" s="157"/>
      <c r="MF32" s="157"/>
      <c r="MG32" s="157"/>
      <c r="MH32" s="157"/>
      <c r="MI32" s="157"/>
      <c r="MJ32" s="157"/>
      <c r="MK32" s="157"/>
      <c r="ML32" s="157"/>
      <c r="MM32" s="157"/>
      <c r="MN32" s="157"/>
      <c r="MO32" s="157"/>
      <c r="MP32" s="157"/>
      <c r="MQ32" s="157"/>
      <c r="MR32" s="157"/>
      <c r="MS32" s="157"/>
      <c r="MT32" s="157"/>
      <c r="MU32" s="164" t="s">
        <v>81</v>
      </c>
      <c r="MV32" s="162">
        <v>323181</v>
      </c>
      <c r="MW32" s="162">
        <v>14932</v>
      </c>
      <c r="MX32" s="162">
        <v>-12176</v>
      </c>
      <c r="MY32" s="162">
        <v>1742510</v>
      </c>
      <c r="MZ32" s="157"/>
      <c r="NA32" s="162">
        <v>341431</v>
      </c>
      <c r="NB32" s="162">
        <v>55306</v>
      </c>
      <c r="NC32" s="162">
        <v>29132</v>
      </c>
      <c r="ND32" s="162">
        <v>1666780</v>
      </c>
      <c r="NE32" s="157"/>
      <c r="NF32" s="162">
        <v>281247</v>
      </c>
      <c r="NG32" s="162">
        <v>8471</v>
      </c>
      <c r="NH32" s="162">
        <v>-16826</v>
      </c>
      <c r="NI32" s="162">
        <v>1640587</v>
      </c>
      <c r="NJ32" s="157"/>
      <c r="NK32" s="157"/>
      <c r="NL32" s="157"/>
      <c r="NM32" s="157"/>
      <c r="NN32" s="157"/>
      <c r="NO32" s="157"/>
      <c r="NP32" s="157"/>
      <c r="NQ32" s="157"/>
      <c r="NR32" s="157"/>
      <c r="NS32" s="157"/>
      <c r="NT32" s="157"/>
      <c r="NU32" s="157"/>
      <c r="NV32" s="157"/>
      <c r="NW32" s="157"/>
      <c r="NX32" s="157"/>
      <c r="NY32" s="157"/>
      <c r="NZ32" s="157"/>
      <c r="OA32" s="157"/>
      <c r="OB32" s="157"/>
      <c r="OC32" s="157"/>
      <c r="OD32" s="157"/>
      <c r="OE32" s="157"/>
      <c r="OF32" s="157"/>
      <c r="OG32" s="157"/>
      <c r="OH32" s="157"/>
      <c r="OI32" s="157"/>
      <c r="OJ32" s="157"/>
      <c r="OK32" s="157"/>
      <c r="OL32" s="157"/>
      <c r="OM32" s="157"/>
      <c r="ON32" s="157"/>
      <c r="OO32" s="157"/>
      <c r="OP32" s="157"/>
      <c r="OQ32" s="157"/>
      <c r="OR32" s="157"/>
      <c r="OS32" s="157"/>
      <c r="OT32" s="157"/>
      <c r="OU32" s="157"/>
      <c r="OV32" s="157"/>
      <c r="OW32" s="157"/>
      <c r="OX32" s="157"/>
      <c r="OY32" s="157"/>
      <c r="OZ32" s="157"/>
      <c r="PA32" s="157"/>
    </row>
    <row r="33" spans="254:417">
      <c r="IT33" s="157"/>
      <c r="IU33" s="157"/>
      <c r="IV33" s="157"/>
      <c r="IW33" s="157"/>
      <c r="IY33" s="157"/>
      <c r="IZ33" s="157"/>
      <c r="JA33" s="157"/>
      <c r="JB33" s="157"/>
      <c r="JC33" s="157"/>
      <c r="JD33" s="157"/>
      <c r="JE33" s="157"/>
      <c r="JF33" s="157"/>
      <c r="JG33" s="157"/>
      <c r="JH33" s="157"/>
      <c r="JI33" s="157"/>
      <c r="JJ33" s="157"/>
      <c r="JK33" s="157"/>
      <c r="JL33" s="157"/>
      <c r="JM33" s="157"/>
      <c r="JN33" s="157"/>
      <c r="JO33" s="157"/>
      <c r="JP33" s="157"/>
      <c r="JQ33" s="157"/>
      <c r="JR33" s="157"/>
      <c r="JS33" s="157"/>
      <c r="JT33" s="157"/>
      <c r="JU33" s="157"/>
      <c r="JV33" s="157"/>
      <c r="JW33" s="157"/>
      <c r="JX33" s="157"/>
      <c r="JY33" s="157"/>
      <c r="JZ33" s="157"/>
      <c r="KA33" s="157"/>
      <c r="KB33" s="157"/>
      <c r="KC33" s="157"/>
      <c r="KD33" s="157"/>
      <c r="KE33" s="157"/>
      <c r="KF33" s="157"/>
      <c r="KG33" s="157"/>
      <c r="KH33" s="157"/>
      <c r="KI33" s="157"/>
      <c r="KJ33" s="157"/>
      <c r="KK33" s="157"/>
      <c r="KL33" s="157"/>
      <c r="KM33" s="157"/>
      <c r="KN33" s="157"/>
      <c r="KO33" s="157"/>
      <c r="KP33" s="157"/>
      <c r="KQ33" s="157"/>
      <c r="KR33" s="157"/>
      <c r="KS33" s="157"/>
      <c r="KT33" s="157"/>
      <c r="KU33" s="157"/>
      <c r="KV33" s="157"/>
      <c r="KW33" s="157"/>
      <c r="KX33" s="157"/>
      <c r="KY33" s="157"/>
      <c r="KZ33" s="157"/>
      <c r="LA33" s="157"/>
      <c r="LB33" s="157"/>
      <c r="LC33" s="157"/>
      <c r="LD33" s="157"/>
      <c r="LE33" s="157"/>
      <c r="LF33" s="157"/>
      <c r="LG33" s="157"/>
      <c r="LH33" s="157"/>
      <c r="LI33" s="157"/>
      <c r="LJ33" s="157"/>
      <c r="LK33" s="157"/>
      <c r="LL33" s="157"/>
      <c r="LM33" s="157"/>
      <c r="LN33" s="157"/>
      <c r="LO33" s="157"/>
      <c r="LP33" s="157"/>
      <c r="LQ33" s="157"/>
      <c r="LR33" s="157"/>
      <c r="LS33" s="157"/>
      <c r="LT33" s="157"/>
      <c r="LU33" s="157"/>
      <c r="LV33" s="157"/>
      <c r="LW33" s="157"/>
      <c r="LX33" s="157"/>
      <c r="LY33" s="157"/>
      <c r="LZ33" s="157"/>
      <c r="MA33" s="157"/>
      <c r="MB33" s="157"/>
      <c r="MC33" s="157"/>
      <c r="MD33" s="157"/>
      <c r="ME33" s="157"/>
      <c r="MF33" s="157"/>
      <c r="MG33" s="157"/>
      <c r="MH33" s="157"/>
      <c r="MI33" s="157"/>
      <c r="MJ33" s="157"/>
      <c r="MK33" s="157"/>
      <c r="ML33" s="157"/>
      <c r="MM33" s="157"/>
      <c r="MN33" s="157"/>
      <c r="MO33" s="157"/>
      <c r="MP33" s="157"/>
      <c r="MQ33" s="157"/>
      <c r="MR33" s="157"/>
      <c r="MS33" s="157"/>
      <c r="MT33" s="157"/>
      <c r="MU33" s="163" t="s">
        <v>82</v>
      </c>
      <c r="MV33" s="156">
        <v>913384</v>
      </c>
      <c r="MW33" s="156">
        <v>51694</v>
      </c>
      <c r="MX33" s="156">
        <v>-34993</v>
      </c>
      <c r="MY33" s="180">
        <v>8393127</v>
      </c>
      <c r="MZ33" s="157"/>
      <c r="NA33" s="156">
        <v>832114</v>
      </c>
      <c r="NB33" s="156">
        <v>73153</v>
      </c>
      <c r="NC33" s="156">
        <v>-43546</v>
      </c>
      <c r="ND33" s="180">
        <v>7636136</v>
      </c>
      <c r="NE33" s="157"/>
      <c r="NF33" s="156">
        <v>716925</v>
      </c>
      <c r="NG33" s="156">
        <v>59507</v>
      </c>
      <c r="NH33" s="156">
        <v>-58572</v>
      </c>
      <c r="NI33" s="180">
        <v>7741435</v>
      </c>
      <c r="NJ33" s="157"/>
      <c r="NK33" s="157"/>
      <c r="NL33" s="157"/>
      <c r="NM33" s="157"/>
      <c r="NN33" s="157"/>
      <c r="NO33" s="157"/>
      <c r="NP33" s="157"/>
      <c r="NQ33" s="157"/>
      <c r="NR33" s="157"/>
      <c r="NS33" s="157"/>
      <c r="NT33" s="157"/>
      <c r="NU33" s="157"/>
      <c r="NV33" s="157"/>
      <c r="NW33" s="157"/>
      <c r="NX33" s="157"/>
      <c r="NY33" s="157"/>
      <c r="NZ33" s="157"/>
      <c r="OA33" s="157"/>
      <c r="OB33" s="157"/>
      <c r="OC33" s="157"/>
      <c r="OD33" s="157"/>
      <c r="OE33" s="157"/>
      <c r="OF33" s="157"/>
      <c r="OG33" s="157"/>
      <c r="OH33" s="157"/>
      <c r="OI33" s="157"/>
      <c r="OJ33" s="157"/>
      <c r="OK33" s="157"/>
      <c r="OL33" s="157"/>
      <c r="OM33" s="157"/>
      <c r="ON33" s="157"/>
      <c r="OO33" s="157"/>
      <c r="OP33" s="157"/>
      <c r="OQ33" s="157"/>
      <c r="OR33" s="157"/>
      <c r="OS33" s="157"/>
      <c r="OT33" s="157"/>
      <c r="OU33" s="157"/>
      <c r="OV33" s="157"/>
      <c r="OW33" s="157"/>
      <c r="OX33" s="157"/>
      <c r="OY33" s="157"/>
      <c r="OZ33" s="157"/>
      <c r="PA33" s="157"/>
    </row>
    <row r="34" spans="254:417">
      <c r="IT34" s="157"/>
      <c r="IU34" s="157"/>
      <c r="IV34" s="157"/>
      <c r="IW34" s="157"/>
      <c r="IY34" s="157"/>
      <c r="IZ34" s="157"/>
      <c r="JA34" s="157"/>
      <c r="JB34" s="157"/>
      <c r="JC34" s="157"/>
      <c r="JD34" s="157"/>
      <c r="JE34" s="157"/>
      <c r="JF34" s="157"/>
      <c r="JG34" s="157"/>
      <c r="JH34" s="157"/>
      <c r="JI34" s="157"/>
      <c r="JJ34" s="157"/>
      <c r="JK34" s="157"/>
      <c r="JL34" s="157"/>
      <c r="JM34" s="157"/>
      <c r="JN34" s="157"/>
      <c r="JO34" s="157"/>
      <c r="JP34" s="157"/>
      <c r="JQ34" s="157"/>
      <c r="JR34" s="157"/>
      <c r="JS34" s="157"/>
      <c r="JT34" s="157"/>
      <c r="JU34" s="157"/>
      <c r="JV34" s="157"/>
      <c r="JW34" s="157"/>
      <c r="JX34" s="157"/>
      <c r="JY34" s="157"/>
      <c r="JZ34" s="157"/>
      <c r="KA34" s="157"/>
      <c r="KB34" s="157"/>
      <c r="KC34" s="157"/>
      <c r="KD34" s="157"/>
      <c r="KE34" s="157"/>
      <c r="KF34" s="157"/>
      <c r="KG34" s="157"/>
      <c r="KH34" s="157"/>
      <c r="KI34" s="157"/>
      <c r="KJ34" s="157"/>
      <c r="KK34" s="157"/>
      <c r="KL34" s="157"/>
      <c r="KM34" s="157"/>
      <c r="KN34" s="157"/>
      <c r="KO34" s="157"/>
      <c r="KP34" s="157"/>
      <c r="KQ34" s="157"/>
      <c r="KR34" s="157"/>
      <c r="KS34" s="157"/>
      <c r="KT34" s="157"/>
      <c r="KU34" s="157"/>
      <c r="KV34" s="157"/>
      <c r="KW34" s="157"/>
      <c r="KX34" s="157"/>
      <c r="KY34" s="157"/>
      <c r="KZ34" s="157"/>
      <c r="LA34" s="157"/>
      <c r="LB34" s="157"/>
      <c r="LC34" s="157"/>
      <c r="LD34" s="157"/>
      <c r="LE34" s="157"/>
      <c r="LF34" s="157"/>
      <c r="LG34" s="157"/>
      <c r="LH34" s="157"/>
      <c r="LI34" s="157"/>
      <c r="LJ34" s="157"/>
      <c r="LK34" s="157"/>
      <c r="LL34" s="157"/>
      <c r="LM34" s="157"/>
      <c r="LN34" s="157"/>
      <c r="LO34" s="157"/>
      <c r="LP34" s="157"/>
      <c r="LQ34" s="157"/>
      <c r="LR34" s="157"/>
      <c r="LS34" s="157"/>
      <c r="LT34" s="157"/>
      <c r="LU34" s="157"/>
      <c r="LV34" s="157"/>
      <c r="LW34" s="157"/>
      <c r="LX34" s="157"/>
      <c r="LY34" s="157"/>
      <c r="LZ34" s="157"/>
      <c r="MA34" s="157"/>
      <c r="MB34" s="157"/>
      <c r="MC34" s="157"/>
      <c r="MD34" s="157"/>
      <c r="ME34" s="157"/>
      <c r="MF34" s="157"/>
      <c r="MG34" s="157"/>
      <c r="MH34" s="157"/>
      <c r="MI34" s="157"/>
      <c r="MJ34" s="157"/>
      <c r="MK34" s="157"/>
      <c r="ML34" s="157"/>
      <c r="MM34" s="157"/>
      <c r="MN34" s="157"/>
      <c r="MO34" s="157"/>
      <c r="MP34" s="157"/>
      <c r="MQ34" s="157"/>
      <c r="MR34" s="157"/>
      <c r="MS34" s="157"/>
      <c r="MT34" s="157"/>
      <c r="MU34" s="163" t="s">
        <v>83</v>
      </c>
      <c r="MV34" s="156">
        <v>65019</v>
      </c>
      <c r="MW34" s="156">
        <v>37748</v>
      </c>
      <c r="MX34" s="156">
        <v>20234</v>
      </c>
      <c r="MY34" s="180">
        <v>1985920</v>
      </c>
      <c r="MZ34" s="157"/>
      <c r="NA34" s="156">
        <v>71079</v>
      </c>
      <c r="NB34" s="156">
        <v>45702</v>
      </c>
      <c r="NC34" s="156">
        <v>25694</v>
      </c>
      <c r="ND34" s="180">
        <v>1929270</v>
      </c>
      <c r="NE34" s="157"/>
      <c r="NF34" s="156">
        <v>64784</v>
      </c>
      <c r="NG34" s="156">
        <v>40730</v>
      </c>
      <c r="NH34" s="156">
        <v>20707</v>
      </c>
      <c r="NI34" s="180">
        <v>1929486</v>
      </c>
      <c r="NJ34" s="157"/>
      <c r="NK34" s="157"/>
      <c r="NL34" s="157"/>
      <c r="NM34" s="157"/>
      <c r="NN34" s="157"/>
      <c r="NO34" s="157"/>
      <c r="NP34" s="157"/>
      <c r="NQ34" s="157"/>
      <c r="NR34" s="157"/>
      <c r="NS34" s="157"/>
      <c r="NT34" s="157"/>
      <c r="NU34" s="157"/>
      <c r="NV34" s="157"/>
      <c r="NW34" s="157"/>
      <c r="NX34" s="157"/>
      <c r="NY34" s="157"/>
      <c r="NZ34" s="157"/>
      <c r="OA34" s="157"/>
      <c r="OB34" s="157"/>
      <c r="OC34" s="157"/>
      <c r="OD34" s="157"/>
      <c r="OE34" s="157"/>
      <c r="OF34" s="157"/>
      <c r="OG34" s="157"/>
      <c r="OH34" s="157"/>
      <c r="OI34" s="157"/>
      <c r="OJ34" s="157"/>
      <c r="OK34" s="157"/>
      <c r="OL34" s="157"/>
      <c r="OM34" s="157"/>
      <c r="ON34" s="157"/>
      <c r="OO34" s="157"/>
      <c r="OP34" s="157"/>
      <c r="OQ34" s="157"/>
      <c r="OR34" s="157"/>
      <c r="OS34" s="157"/>
      <c r="OT34" s="157"/>
      <c r="OU34" s="157"/>
      <c r="OV34" s="157"/>
      <c r="OW34" s="157"/>
      <c r="OX34" s="157"/>
      <c r="OY34" s="157"/>
      <c r="OZ34" s="157"/>
      <c r="PA34" s="157"/>
    </row>
    <row r="35" spans="254:417">
      <c r="IT35" s="157"/>
      <c r="IU35" s="157"/>
      <c r="IV35" s="157"/>
      <c r="IW35" s="157"/>
      <c r="IY35" s="157"/>
      <c r="IZ35" s="157"/>
      <c r="JA35" s="157"/>
      <c r="JB35" s="157"/>
      <c r="JC35" s="157"/>
      <c r="JD35" s="157"/>
      <c r="JE35" s="157"/>
      <c r="JF35" s="157"/>
      <c r="JG35" s="157"/>
      <c r="JH35" s="157"/>
      <c r="JI35" s="157"/>
      <c r="JJ35" s="157"/>
      <c r="JK35" s="157"/>
      <c r="JL35" s="157"/>
      <c r="JM35" s="157"/>
      <c r="JN35" s="157"/>
      <c r="JO35" s="157"/>
      <c r="JP35" s="157"/>
      <c r="JQ35" s="157"/>
      <c r="JR35" s="157"/>
      <c r="JS35" s="157"/>
      <c r="JT35" s="157"/>
      <c r="JU35" s="157"/>
      <c r="JV35" s="157"/>
      <c r="JW35" s="157"/>
      <c r="JX35" s="157"/>
      <c r="JY35" s="157"/>
      <c r="JZ35" s="157"/>
      <c r="KA35" s="157"/>
      <c r="KB35" s="157"/>
      <c r="KC35" s="157"/>
      <c r="KD35" s="157"/>
      <c r="KE35" s="157"/>
      <c r="KF35" s="157"/>
      <c r="KG35" s="157"/>
      <c r="KH35" s="157"/>
      <c r="KI35" s="157"/>
      <c r="KJ35" s="157"/>
      <c r="KK35" s="157"/>
      <c r="KL35" s="157"/>
      <c r="KM35" s="157"/>
      <c r="KN35" s="157"/>
      <c r="KO35" s="157"/>
      <c r="KP35" s="157"/>
      <c r="KQ35" s="157"/>
      <c r="KR35" s="157"/>
      <c r="KS35" s="157"/>
      <c r="KT35" s="157"/>
      <c r="KU35" s="157"/>
      <c r="KV35" s="157"/>
      <c r="KW35" s="157"/>
      <c r="KX35" s="157"/>
      <c r="KY35" s="157"/>
      <c r="KZ35" s="157"/>
      <c r="LA35" s="157"/>
      <c r="LB35" s="157"/>
      <c r="LC35" s="157"/>
      <c r="LD35" s="157"/>
      <c r="LE35" s="157"/>
      <c r="LF35" s="157"/>
      <c r="LG35" s="157"/>
      <c r="LH35" s="157"/>
      <c r="LI35" s="157"/>
      <c r="LJ35" s="157"/>
      <c r="LK35" s="157"/>
      <c r="LL35" s="157"/>
      <c r="LM35" s="157"/>
      <c r="LN35" s="157"/>
      <c r="LO35" s="157"/>
      <c r="LP35" s="157"/>
      <c r="LQ35" s="157"/>
      <c r="LR35" s="157"/>
      <c r="LS35" s="157"/>
      <c r="LT35" s="157"/>
      <c r="LU35" s="157"/>
      <c r="LV35" s="157"/>
      <c r="LW35" s="157"/>
      <c r="LX35" s="157"/>
      <c r="LY35" s="157"/>
      <c r="LZ35" s="157"/>
      <c r="MA35" s="157"/>
      <c r="MB35" s="157"/>
      <c r="MC35" s="157"/>
      <c r="MD35" s="157"/>
      <c r="ME35" s="157"/>
      <c r="MF35" s="157"/>
      <c r="MG35" s="157"/>
      <c r="MH35" s="157"/>
      <c r="MI35" s="157"/>
      <c r="MJ35" s="157"/>
      <c r="MK35" s="157"/>
      <c r="ML35" s="157"/>
      <c r="MM35" s="157"/>
      <c r="MN35" s="157"/>
      <c r="MO35" s="157"/>
      <c r="MP35" s="157"/>
      <c r="MQ35" s="157"/>
      <c r="MR35" s="157"/>
      <c r="MS35" s="157"/>
      <c r="MT35" s="157"/>
      <c r="MU35" s="163" t="s">
        <v>84</v>
      </c>
      <c r="MV35" s="156">
        <v>388456</v>
      </c>
      <c r="MW35" s="156">
        <v>126605</v>
      </c>
      <c r="MX35" s="156">
        <v>87607</v>
      </c>
      <c r="MY35" s="156">
        <v>2781001</v>
      </c>
      <c r="MZ35" s="157"/>
      <c r="NA35" s="156">
        <v>249121</v>
      </c>
      <c r="NB35" s="156">
        <v>16576</v>
      </c>
      <c r="NC35" s="156">
        <v>-21324</v>
      </c>
      <c r="ND35" s="156">
        <v>3101958</v>
      </c>
      <c r="NE35" s="157"/>
      <c r="NF35" s="156">
        <v>291077</v>
      </c>
      <c r="NG35" s="156">
        <v>36257</v>
      </c>
      <c r="NH35" s="156">
        <v>-325</v>
      </c>
      <c r="NI35" s="156">
        <v>2962505</v>
      </c>
      <c r="NJ35" s="157"/>
      <c r="NK35" s="157"/>
      <c r="NL35" s="157"/>
      <c r="NM35" s="157"/>
      <c r="NN35" s="157"/>
      <c r="NO35" s="157"/>
      <c r="NP35" s="157"/>
      <c r="NQ35" s="157"/>
      <c r="NR35" s="157"/>
      <c r="NS35" s="157"/>
      <c r="NT35" s="157"/>
      <c r="NU35" s="157"/>
      <c r="NV35" s="157"/>
      <c r="NW35" s="157"/>
      <c r="NX35" s="157"/>
      <c r="NY35" s="157"/>
      <c r="NZ35" s="157"/>
      <c r="OA35" s="157"/>
      <c r="OB35" s="157"/>
      <c r="OC35" s="157"/>
      <c r="OD35" s="157"/>
      <c r="OE35" s="157"/>
      <c r="OF35" s="157"/>
      <c r="OG35" s="157"/>
      <c r="OH35" s="157"/>
      <c r="OI35" s="157"/>
      <c r="OJ35" s="157"/>
      <c r="OK35" s="157"/>
      <c r="OL35" s="157"/>
      <c r="OM35" s="157"/>
      <c r="ON35" s="157"/>
      <c r="OO35" s="157"/>
      <c r="OP35" s="157"/>
      <c r="OQ35" s="157"/>
      <c r="OR35" s="157"/>
      <c r="OS35" s="157"/>
      <c r="OT35" s="157"/>
      <c r="OU35" s="157"/>
      <c r="OV35" s="157"/>
      <c r="OW35" s="157"/>
      <c r="OX35" s="157"/>
      <c r="OY35" s="157"/>
      <c r="OZ35" s="157"/>
      <c r="PA35" s="157"/>
    </row>
    <row r="36" spans="254:417">
      <c r="IT36" s="157"/>
      <c r="IU36" s="157"/>
      <c r="IV36" s="157"/>
      <c r="IW36" s="157"/>
      <c r="IY36" s="157"/>
      <c r="IZ36" s="157"/>
      <c r="JA36" s="157"/>
      <c r="JB36" s="157"/>
      <c r="JC36" s="157"/>
      <c r="JD36" s="157"/>
      <c r="JE36" s="157"/>
      <c r="JF36" s="157"/>
      <c r="JG36" s="157"/>
      <c r="JH36" s="157"/>
      <c r="JI36" s="157"/>
      <c r="JJ36" s="157"/>
      <c r="JK36" s="157"/>
      <c r="JL36" s="157"/>
      <c r="JM36" s="157"/>
      <c r="JN36" s="157"/>
      <c r="JO36" s="157"/>
      <c r="JP36" s="157"/>
      <c r="JQ36" s="157"/>
      <c r="JR36" s="157"/>
      <c r="JS36" s="157"/>
      <c r="JT36" s="157"/>
      <c r="JU36" s="157"/>
      <c r="JV36" s="157"/>
      <c r="JW36" s="157"/>
      <c r="JX36" s="157"/>
      <c r="JY36" s="157"/>
      <c r="JZ36" s="157"/>
      <c r="KA36" s="157"/>
      <c r="KB36" s="157"/>
      <c r="KC36" s="157"/>
      <c r="KD36" s="157"/>
      <c r="KE36" s="157"/>
      <c r="KF36" s="157"/>
      <c r="KG36" s="157"/>
      <c r="KH36" s="157"/>
      <c r="KI36" s="157"/>
      <c r="KJ36" s="157"/>
      <c r="KK36" s="157"/>
      <c r="KL36" s="157"/>
      <c r="KM36" s="157"/>
      <c r="KN36" s="157"/>
      <c r="KO36" s="157"/>
      <c r="KP36" s="157"/>
      <c r="KQ36" s="157"/>
      <c r="KR36" s="157"/>
      <c r="KS36" s="157"/>
      <c r="KT36" s="157"/>
      <c r="KU36" s="157"/>
      <c r="KV36" s="157"/>
      <c r="KW36" s="157"/>
      <c r="KX36" s="157"/>
      <c r="KY36" s="157"/>
      <c r="KZ36" s="157"/>
      <c r="LA36" s="157"/>
      <c r="LB36" s="157"/>
      <c r="LC36" s="157"/>
      <c r="LD36" s="157"/>
      <c r="LE36" s="157"/>
      <c r="LF36" s="157"/>
      <c r="LG36" s="157"/>
      <c r="LH36" s="157"/>
      <c r="LI36" s="157"/>
      <c r="LJ36" s="157"/>
      <c r="LK36" s="157"/>
      <c r="LL36" s="157"/>
      <c r="LM36" s="157"/>
      <c r="LN36" s="157"/>
      <c r="LO36" s="157"/>
      <c r="LP36" s="157"/>
      <c r="LQ36" s="157"/>
      <c r="LR36" s="157"/>
      <c r="LS36" s="157"/>
      <c r="LT36" s="157"/>
      <c r="LU36" s="157"/>
      <c r="LV36" s="157"/>
      <c r="LW36" s="157"/>
      <c r="LX36" s="157"/>
      <c r="LY36" s="157"/>
      <c r="LZ36" s="157"/>
      <c r="MA36" s="157"/>
      <c r="MB36" s="157"/>
      <c r="MC36" s="157"/>
      <c r="MD36" s="157"/>
      <c r="ME36" s="157"/>
      <c r="MF36" s="157"/>
      <c r="MG36" s="157"/>
      <c r="MH36" s="157"/>
      <c r="MI36" s="157"/>
      <c r="MJ36" s="157"/>
      <c r="MK36" s="157"/>
      <c r="ML36" s="157"/>
      <c r="MM36" s="157"/>
      <c r="MN36" s="157"/>
      <c r="MO36" s="157"/>
      <c r="MP36" s="157"/>
      <c r="MQ36" s="157"/>
      <c r="MR36" s="157"/>
      <c r="MS36" s="157"/>
      <c r="MT36" s="157"/>
      <c r="MU36" s="163" t="s">
        <v>85</v>
      </c>
      <c r="MV36" s="156">
        <v>1545835</v>
      </c>
      <c r="MW36" s="156">
        <v>379296</v>
      </c>
      <c r="MX36" s="156">
        <v>138507</v>
      </c>
      <c r="MY36" s="180">
        <v>15012125</v>
      </c>
      <c r="MZ36" s="157"/>
      <c r="NA36" s="156">
        <v>1479860</v>
      </c>
      <c r="NB36" s="156">
        <v>608152</v>
      </c>
      <c r="NC36" s="156">
        <v>370825</v>
      </c>
      <c r="ND36" s="180">
        <v>14581007</v>
      </c>
      <c r="NE36" s="157"/>
      <c r="NF36" s="156">
        <v>1490614</v>
      </c>
      <c r="NG36" s="156">
        <v>612000</v>
      </c>
      <c r="NH36" s="156">
        <v>376007</v>
      </c>
      <c r="NI36" s="180">
        <v>14377042</v>
      </c>
      <c r="NJ36" s="157"/>
      <c r="NK36" s="157"/>
      <c r="NL36" s="157"/>
      <c r="NM36" s="157"/>
      <c r="NN36" s="157"/>
      <c r="NO36" s="157"/>
      <c r="NP36" s="157"/>
      <c r="NQ36" s="157"/>
      <c r="NR36" s="157"/>
      <c r="NS36" s="157"/>
      <c r="NT36" s="157"/>
      <c r="NU36" s="157"/>
      <c r="NV36" s="157"/>
      <c r="NW36" s="157"/>
      <c r="NX36" s="157"/>
      <c r="NY36" s="157"/>
      <c r="NZ36" s="157"/>
      <c r="OA36" s="157"/>
      <c r="OB36" s="157"/>
      <c r="OC36" s="157"/>
      <c r="OD36" s="157"/>
      <c r="OE36" s="157"/>
      <c r="OF36" s="157"/>
      <c r="OG36" s="157"/>
      <c r="OH36" s="157"/>
      <c r="OI36" s="157"/>
      <c r="OJ36" s="157"/>
      <c r="OK36" s="157"/>
      <c r="OL36" s="157"/>
      <c r="OM36" s="157"/>
      <c r="ON36" s="157"/>
      <c r="OO36" s="157"/>
      <c r="OP36" s="157"/>
      <c r="OQ36" s="157"/>
      <c r="OR36" s="157"/>
      <c r="OS36" s="157"/>
      <c r="OT36" s="157"/>
      <c r="OU36" s="157"/>
      <c r="OV36" s="157"/>
      <c r="OW36" s="157"/>
      <c r="OX36" s="157"/>
      <c r="OY36" s="157"/>
      <c r="OZ36" s="157"/>
      <c r="PA36" s="157"/>
    </row>
    <row r="37" spans="254:417">
      <c r="IT37" s="157"/>
      <c r="IU37" s="157"/>
      <c r="IV37" s="157"/>
      <c r="IW37" s="157"/>
      <c r="IY37" s="157"/>
      <c r="IZ37" s="157"/>
      <c r="JA37" s="157"/>
      <c r="JB37" s="157"/>
      <c r="JC37" s="157"/>
      <c r="JD37" s="157"/>
      <c r="JE37" s="157"/>
      <c r="JF37" s="157"/>
      <c r="JG37" s="157"/>
      <c r="JH37" s="157"/>
      <c r="JI37" s="157"/>
      <c r="JJ37" s="157"/>
      <c r="JK37" s="157"/>
      <c r="JL37" s="157"/>
      <c r="JM37" s="157"/>
      <c r="JN37" s="157"/>
      <c r="JO37" s="157"/>
      <c r="JP37" s="157"/>
      <c r="JQ37" s="157"/>
      <c r="JR37" s="157"/>
      <c r="JS37" s="157"/>
      <c r="JT37" s="157"/>
      <c r="JU37" s="157"/>
      <c r="JV37" s="157"/>
      <c r="JW37" s="157"/>
      <c r="JX37" s="157"/>
      <c r="JY37" s="157"/>
      <c r="JZ37" s="157"/>
      <c r="KA37" s="157"/>
      <c r="KB37" s="157"/>
      <c r="KC37" s="157"/>
      <c r="KD37" s="157"/>
      <c r="KE37" s="157"/>
      <c r="KF37" s="157"/>
      <c r="KG37" s="157"/>
      <c r="KH37" s="157"/>
      <c r="KI37" s="157"/>
      <c r="KJ37" s="157"/>
      <c r="KK37" s="157"/>
      <c r="KL37" s="157"/>
      <c r="KM37" s="157"/>
      <c r="KN37" s="157"/>
      <c r="KO37" s="157"/>
      <c r="KP37" s="157"/>
      <c r="KQ37" s="157"/>
      <c r="KR37" s="157"/>
      <c r="KS37" s="157"/>
      <c r="KT37" s="157"/>
      <c r="KU37" s="157"/>
      <c r="KV37" s="157"/>
      <c r="KW37" s="157"/>
      <c r="KX37" s="157"/>
      <c r="KY37" s="157"/>
      <c r="KZ37" s="157"/>
      <c r="LA37" s="157"/>
      <c r="LB37" s="157"/>
      <c r="LC37" s="157"/>
      <c r="LD37" s="157"/>
      <c r="LE37" s="157"/>
      <c r="LF37" s="157"/>
      <c r="LG37" s="157"/>
      <c r="LH37" s="157"/>
      <c r="LI37" s="157"/>
      <c r="LJ37" s="157"/>
      <c r="LK37" s="157"/>
      <c r="LL37" s="157"/>
      <c r="LM37" s="157"/>
      <c r="LN37" s="157"/>
      <c r="LO37" s="157"/>
      <c r="LP37" s="157"/>
      <c r="LQ37" s="157"/>
      <c r="LR37" s="157"/>
      <c r="LS37" s="157"/>
      <c r="LT37" s="157"/>
      <c r="LU37" s="157"/>
      <c r="LV37" s="157"/>
      <c r="LW37" s="157"/>
      <c r="LX37" s="157"/>
      <c r="LY37" s="157"/>
      <c r="LZ37" s="157"/>
      <c r="MA37" s="157"/>
      <c r="MB37" s="157"/>
      <c r="MC37" s="157"/>
      <c r="MD37" s="157"/>
      <c r="ME37" s="157"/>
      <c r="MF37" s="157"/>
      <c r="MG37" s="157"/>
      <c r="MH37" s="157"/>
      <c r="MI37" s="157"/>
      <c r="MJ37" s="157"/>
      <c r="MK37" s="157"/>
      <c r="ML37" s="157"/>
      <c r="MM37" s="157"/>
      <c r="MN37" s="157"/>
      <c r="MO37" s="157"/>
      <c r="MP37" s="157"/>
      <c r="MQ37" s="157"/>
      <c r="MR37" s="157"/>
      <c r="MS37" s="157"/>
      <c r="MT37" s="157"/>
      <c r="MU37" s="163" t="s">
        <v>86</v>
      </c>
      <c r="MV37" s="156">
        <v>4010459</v>
      </c>
      <c r="MW37" s="156">
        <v>106749</v>
      </c>
      <c r="MX37" s="156">
        <v>103508</v>
      </c>
      <c r="MY37" s="180">
        <v>3715551</v>
      </c>
      <c r="MZ37" s="157"/>
      <c r="NA37" s="156">
        <v>3691883</v>
      </c>
      <c r="NB37" s="156">
        <v>109830</v>
      </c>
      <c r="NC37" s="156">
        <v>105291</v>
      </c>
      <c r="ND37" s="180">
        <v>2413083</v>
      </c>
      <c r="NE37" s="157"/>
      <c r="NF37" s="156">
        <v>3479108</v>
      </c>
      <c r="NG37" s="156">
        <v>153290</v>
      </c>
      <c r="NH37" s="156">
        <v>144543</v>
      </c>
      <c r="NI37" s="180">
        <v>2040729</v>
      </c>
      <c r="NJ37" s="157"/>
      <c r="NK37" s="157"/>
      <c r="NL37" s="157"/>
      <c r="NM37" s="157"/>
      <c r="NN37" s="157"/>
      <c r="NO37" s="157"/>
      <c r="NP37" s="157"/>
      <c r="NQ37" s="157"/>
      <c r="NR37" s="157"/>
      <c r="NS37" s="157"/>
      <c r="NT37" s="157"/>
      <c r="NU37" s="157"/>
      <c r="NV37" s="157"/>
      <c r="NW37" s="157"/>
      <c r="NX37" s="157"/>
      <c r="NY37" s="157"/>
      <c r="NZ37" s="157"/>
      <c r="OA37" s="157"/>
      <c r="OB37" s="157"/>
      <c r="OC37" s="157"/>
      <c r="OD37" s="157"/>
      <c r="OE37" s="157"/>
      <c r="OF37" s="157"/>
      <c r="OG37" s="157"/>
      <c r="OH37" s="157"/>
      <c r="OI37" s="157"/>
      <c r="OJ37" s="157"/>
      <c r="OK37" s="157"/>
      <c r="OL37" s="157"/>
      <c r="OM37" s="157"/>
      <c r="ON37" s="157"/>
      <c r="OO37" s="157"/>
      <c r="OP37" s="157"/>
      <c r="OQ37" s="157"/>
      <c r="OR37" s="157"/>
      <c r="OS37" s="157"/>
      <c r="OT37" s="157"/>
      <c r="OU37" s="157"/>
      <c r="OV37" s="157"/>
      <c r="OW37" s="157"/>
      <c r="OX37" s="157"/>
      <c r="OY37" s="157"/>
      <c r="OZ37" s="157"/>
      <c r="PA37" s="157"/>
    </row>
    <row r="38" spans="254:417">
      <c r="IT38" s="157"/>
      <c r="IU38" s="157"/>
      <c r="IV38" s="157"/>
      <c r="IW38" s="157"/>
      <c r="IY38" s="157"/>
      <c r="IZ38" s="157"/>
      <c r="JA38" s="157"/>
      <c r="JB38" s="157"/>
      <c r="JC38" s="157"/>
      <c r="JD38" s="157"/>
      <c r="JE38" s="157"/>
      <c r="JF38" s="157"/>
      <c r="JG38" s="157"/>
      <c r="JH38" s="157"/>
      <c r="JI38" s="157"/>
      <c r="JJ38" s="157"/>
      <c r="JK38" s="157"/>
      <c r="JL38" s="157"/>
      <c r="JM38" s="157"/>
      <c r="JN38" s="157"/>
      <c r="JO38" s="157"/>
      <c r="JP38" s="157"/>
      <c r="JQ38" s="157"/>
      <c r="JR38" s="157"/>
      <c r="JS38" s="157"/>
      <c r="JT38" s="157"/>
      <c r="JU38" s="157"/>
      <c r="JV38" s="157"/>
      <c r="JW38" s="157"/>
      <c r="JX38" s="157"/>
      <c r="JY38" s="157"/>
      <c r="JZ38" s="157"/>
      <c r="KA38" s="157"/>
      <c r="KB38" s="157"/>
      <c r="KC38" s="157"/>
      <c r="KD38" s="157"/>
      <c r="KE38" s="157"/>
      <c r="KF38" s="157"/>
      <c r="KG38" s="157"/>
      <c r="KH38" s="157"/>
      <c r="KI38" s="157"/>
      <c r="KJ38" s="157"/>
      <c r="KK38" s="157"/>
      <c r="KL38" s="157"/>
      <c r="KM38" s="157"/>
      <c r="KN38" s="157"/>
      <c r="KO38" s="157"/>
      <c r="KP38" s="157"/>
      <c r="KQ38" s="157"/>
      <c r="KR38" s="157"/>
      <c r="KS38" s="157"/>
      <c r="KT38" s="157"/>
      <c r="KU38" s="157"/>
      <c r="KV38" s="157"/>
      <c r="KW38" s="157"/>
      <c r="KX38" s="157"/>
      <c r="KY38" s="157"/>
      <c r="KZ38" s="157"/>
      <c r="LA38" s="157"/>
      <c r="LB38" s="157"/>
      <c r="LC38" s="157"/>
      <c r="LD38" s="157"/>
      <c r="LE38" s="157"/>
      <c r="LF38" s="157"/>
      <c r="LG38" s="157"/>
      <c r="LH38" s="157"/>
      <c r="LI38" s="157"/>
      <c r="LJ38" s="157"/>
      <c r="LK38" s="157"/>
      <c r="LL38" s="157"/>
      <c r="LM38" s="157"/>
      <c r="LN38" s="157"/>
      <c r="LO38" s="157"/>
      <c r="LP38" s="157"/>
      <c r="LQ38" s="157"/>
      <c r="LR38" s="157"/>
      <c r="LS38" s="157"/>
      <c r="LT38" s="157"/>
      <c r="LU38" s="157"/>
      <c r="LV38" s="157"/>
      <c r="LW38" s="157"/>
      <c r="LX38" s="157"/>
      <c r="LY38" s="157"/>
      <c r="LZ38" s="157"/>
      <c r="MA38" s="157"/>
      <c r="MB38" s="157"/>
      <c r="MC38" s="157"/>
      <c r="MD38" s="157"/>
      <c r="ME38" s="157"/>
      <c r="MF38" s="157"/>
      <c r="MG38" s="157"/>
      <c r="MH38" s="157"/>
      <c r="MI38" s="157"/>
      <c r="MJ38" s="157"/>
      <c r="MK38" s="157"/>
      <c r="ML38" s="157"/>
      <c r="MM38" s="157"/>
      <c r="MN38" s="157"/>
      <c r="MO38" s="157"/>
      <c r="MP38" s="157"/>
      <c r="MQ38" s="157"/>
      <c r="MR38" s="157"/>
      <c r="MS38" s="157"/>
      <c r="MT38" s="157"/>
      <c r="MU38" s="163" t="s">
        <v>87</v>
      </c>
      <c r="MV38" s="156">
        <v>153870</v>
      </c>
      <c r="MW38" s="156">
        <v>-2388</v>
      </c>
      <c r="MX38" s="156">
        <v>-15091</v>
      </c>
      <c r="MY38" s="156">
        <v>267663</v>
      </c>
      <c r="MZ38" s="157"/>
      <c r="NA38" s="156">
        <v>155387</v>
      </c>
      <c r="NB38" s="156">
        <v>31201</v>
      </c>
      <c r="NC38" s="156">
        <v>19345</v>
      </c>
      <c r="ND38" s="156">
        <v>230454</v>
      </c>
      <c r="NE38" s="157"/>
      <c r="NF38" s="156">
        <v>138236</v>
      </c>
      <c r="NG38" s="156">
        <v>15822</v>
      </c>
      <c r="NH38" s="156">
        <v>5885</v>
      </c>
      <c r="NI38" s="156">
        <v>222294</v>
      </c>
      <c r="NJ38" s="157"/>
      <c r="NK38" s="157"/>
      <c r="NL38" s="157"/>
      <c r="NM38" s="157"/>
      <c r="NN38" s="157"/>
      <c r="NO38" s="157"/>
      <c r="NP38" s="157"/>
      <c r="NQ38" s="157"/>
      <c r="NR38" s="157"/>
      <c r="NS38" s="157"/>
      <c r="NT38" s="157"/>
      <c r="NU38" s="157"/>
      <c r="NV38" s="157"/>
      <c r="NW38" s="157"/>
      <c r="NX38" s="157"/>
      <c r="NY38" s="157"/>
      <c r="NZ38" s="157"/>
      <c r="OA38" s="157"/>
      <c r="OB38" s="157"/>
      <c r="OC38" s="157"/>
      <c r="OD38" s="157"/>
      <c r="OE38" s="157"/>
      <c r="OF38" s="157"/>
      <c r="OG38" s="157"/>
      <c r="OH38" s="157"/>
      <c r="OI38" s="157"/>
      <c r="OJ38" s="157"/>
      <c r="OK38" s="157"/>
      <c r="OL38" s="157"/>
      <c r="OM38" s="157"/>
      <c r="ON38" s="157"/>
      <c r="OO38" s="157"/>
      <c r="OP38" s="157"/>
      <c r="OQ38" s="157"/>
      <c r="OR38" s="157"/>
      <c r="OS38" s="157"/>
      <c r="OT38" s="157"/>
      <c r="OU38" s="157"/>
      <c r="OV38" s="157"/>
      <c r="OW38" s="157"/>
      <c r="OX38" s="157"/>
      <c r="OY38" s="157"/>
      <c r="OZ38" s="157"/>
      <c r="PA38" s="157"/>
    </row>
    <row r="39" spans="254:417">
      <c r="IT39" s="157"/>
      <c r="IU39" s="157"/>
      <c r="IV39" s="157"/>
      <c r="IW39" s="157"/>
      <c r="IY39" s="157"/>
      <c r="IZ39" s="157"/>
      <c r="JA39" s="157"/>
      <c r="JB39" s="157"/>
      <c r="JC39" s="157"/>
      <c r="JD39" s="157"/>
      <c r="JE39" s="157"/>
      <c r="JF39" s="157"/>
      <c r="JG39" s="157"/>
      <c r="JH39" s="157"/>
      <c r="JI39" s="157"/>
      <c r="JJ39" s="157"/>
      <c r="JK39" s="157"/>
      <c r="JL39" s="157"/>
      <c r="JM39" s="157"/>
      <c r="JN39" s="157"/>
      <c r="JO39" s="157"/>
      <c r="JP39" s="157"/>
      <c r="JQ39" s="157"/>
      <c r="JR39" s="157"/>
      <c r="JS39" s="157"/>
      <c r="JT39" s="157"/>
      <c r="JU39" s="157"/>
      <c r="JV39" s="157"/>
      <c r="JW39" s="157"/>
      <c r="JX39" s="157"/>
      <c r="JY39" s="157"/>
      <c r="JZ39" s="157"/>
      <c r="KA39" s="157"/>
      <c r="KB39" s="157"/>
      <c r="KC39" s="157"/>
      <c r="KD39" s="157"/>
      <c r="KE39" s="157"/>
      <c r="KF39" s="157"/>
      <c r="KG39" s="157"/>
      <c r="KH39" s="157"/>
      <c r="KI39" s="157"/>
      <c r="KJ39" s="157"/>
      <c r="KK39" s="157"/>
      <c r="KL39" s="157"/>
      <c r="KM39" s="157"/>
      <c r="KN39" s="157"/>
      <c r="KO39" s="157"/>
      <c r="KP39" s="157"/>
      <c r="KQ39" s="157"/>
      <c r="KR39" s="157"/>
      <c r="KS39" s="157"/>
      <c r="KT39" s="157"/>
      <c r="KU39" s="157"/>
      <c r="KV39" s="157"/>
      <c r="KW39" s="157"/>
      <c r="KX39" s="157"/>
      <c r="KY39" s="157"/>
      <c r="KZ39" s="157"/>
      <c r="LA39" s="157"/>
      <c r="LB39" s="157"/>
      <c r="LC39" s="157"/>
      <c r="LD39" s="157"/>
      <c r="LE39" s="157"/>
      <c r="LF39" s="157"/>
      <c r="LG39" s="157"/>
      <c r="LH39" s="157"/>
      <c r="LI39" s="157"/>
      <c r="LJ39" s="157"/>
      <c r="LK39" s="157"/>
      <c r="LL39" s="157"/>
      <c r="LM39" s="157"/>
      <c r="LN39" s="157"/>
      <c r="LO39" s="157"/>
      <c r="LP39" s="157"/>
      <c r="LQ39" s="157"/>
      <c r="LR39" s="157"/>
      <c r="LS39" s="157"/>
      <c r="LT39" s="157"/>
      <c r="LU39" s="157"/>
      <c r="LV39" s="157"/>
      <c r="LW39" s="157"/>
      <c r="LX39" s="157"/>
      <c r="LY39" s="157"/>
      <c r="LZ39" s="157"/>
      <c r="MA39" s="157"/>
      <c r="MB39" s="157"/>
      <c r="MC39" s="157"/>
      <c r="MD39" s="157"/>
      <c r="ME39" s="157"/>
      <c r="MF39" s="157"/>
      <c r="MG39" s="157"/>
      <c r="MH39" s="157"/>
      <c r="MI39" s="157"/>
      <c r="MJ39" s="157"/>
      <c r="MK39" s="157"/>
      <c r="ML39" s="157"/>
      <c r="MM39" s="157"/>
      <c r="MN39" s="157"/>
      <c r="MO39" s="157"/>
      <c r="MP39" s="157"/>
      <c r="MQ39" s="157"/>
      <c r="MR39" s="157"/>
      <c r="MS39" s="157"/>
      <c r="MT39" s="157"/>
      <c r="MU39" s="173" t="s">
        <v>80</v>
      </c>
      <c r="MV39" s="170">
        <v>57229</v>
      </c>
      <c r="MW39" s="170">
        <v>-838</v>
      </c>
      <c r="MX39" s="170">
        <v>-2417</v>
      </c>
      <c r="MY39" s="170">
        <v>191933</v>
      </c>
      <c r="MZ39" s="157"/>
      <c r="NA39" s="170">
        <v>78754</v>
      </c>
      <c r="NB39" s="170">
        <v>11110</v>
      </c>
      <c r="NC39" s="170">
        <v>9389</v>
      </c>
      <c r="ND39" s="170">
        <v>160564</v>
      </c>
      <c r="NE39" s="157"/>
      <c r="NF39" s="170">
        <v>57784</v>
      </c>
      <c r="NG39" s="170">
        <v>6878</v>
      </c>
      <c r="NH39" s="170">
        <v>5166</v>
      </c>
      <c r="NI39" s="170">
        <v>182892</v>
      </c>
      <c r="NJ39" s="157"/>
      <c r="NK39" s="157"/>
      <c r="NL39" s="157"/>
      <c r="NM39" s="157"/>
      <c r="NN39" s="157"/>
      <c r="NO39" s="157"/>
      <c r="NP39" s="157"/>
      <c r="NQ39" s="157"/>
      <c r="NR39" s="157"/>
      <c r="NS39" s="157"/>
      <c r="NT39" s="157"/>
      <c r="NU39" s="157"/>
      <c r="NV39" s="157"/>
      <c r="NW39" s="157"/>
      <c r="NX39" s="157"/>
      <c r="NY39" s="157"/>
      <c r="NZ39" s="157"/>
      <c r="OA39" s="157"/>
      <c r="OB39" s="157"/>
      <c r="OC39" s="157"/>
      <c r="OD39" s="157"/>
      <c r="OE39" s="157"/>
      <c r="OF39" s="157"/>
      <c r="OG39" s="157"/>
      <c r="OH39" s="157"/>
      <c r="OI39" s="157"/>
      <c r="OJ39" s="157"/>
      <c r="OK39" s="157"/>
      <c r="OL39" s="157"/>
      <c r="OM39" s="157"/>
      <c r="ON39" s="157"/>
      <c r="OO39" s="157"/>
      <c r="OP39" s="157"/>
      <c r="OQ39" s="157"/>
      <c r="OR39" s="157"/>
      <c r="OS39" s="157"/>
      <c r="OT39" s="157"/>
      <c r="OU39" s="157"/>
      <c r="OV39" s="157"/>
      <c r="OW39" s="157"/>
      <c r="OX39" s="157"/>
      <c r="OY39" s="157"/>
      <c r="OZ39" s="157"/>
      <c r="PA39" s="157"/>
    </row>
    <row r="40" spans="254:417">
      <c r="IT40" s="157"/>
      <c r="IU40" s="157"/>
      <c r="IV40" s="157"/>
      <c r="IW40" s="157"/>
      <c r="IY40" s="157"/>
      <c r="IZ40" s="157"/>
      <c r="JA40" s="157"/>
      <c r="JB40" s="157"/>
      <c r="JC40" s="157"/>
      <c r="JD40" s="157"/>
      <c r="JE40" s="157"/>
      <c r="JF40" s="157"/>
      <c r="JG40" s="157"/>
      <c r="JH40" s="157"/>
      <c r="JI40" s="157"/>
      <c r="JJ40" s="157"/>
      <c r="JK40" s="157"/>
      <c r="JL40" s="157"/>
      <c r="JM40" s="157"/>
      <c r="JN40" s="157"/>
      <c r="JO40" s="157"/>
      <c r="JP40" s="157"/>
      <c r="JQ40" s="157"/>
      <c r="JR40" s="157"/>
      <c r="JS40" s="157"/>
      <c r="JT40" s="157"/>
      <c r="JU40" s="157"/>
      <c r="JV40" s="157"/>
      <c r="JW40" s="157"/>
      <c r="JX40" s="157"/>
      <c r="JY40" s="157"/>
      <c r="JZ40" s="157"/>
      <c r="KA40" s="157"/>
      <c r="KB40" s="157"/>
      <c r="KC40" s="157"/>
      <c r="KD40" s="157"/>
      <c r="KE40" s="157"/>
      <c r="KF40" s="157"/>
      <c r="KG40" s="157"/>
      <c r="KH40" s="157"/>
      <c r="KI40" s="157"/>
      <c r="KJ40" s="157"/>
      <c r="KK40" s="157"/>
      <c r="KL40" s="157"/>
      <c r="KM40" s="157"/>
      <c r="KN40" s="157"/>
      <c r="KO40" s="157"/>
      <c r="KP40" s="157"/>
      <c r="KQ40" s="157"/>
      <c r="KR40" s="157"/>
      <c r="KS40" s="157"/>
      <c r="KT40" s="157"/>
      <c r="KU40" s="157"/>
      <c r="KV40" s="157"/>
      <c r="KW40" s="157"/>
      <c r="KX40" s="157"/>
      <c r="KY40" s="157"/>
      <c r="KZ40" s="157"/>
      <c r="LA40" s="157"/>
      <c r="LB40" s="157"/>
      <c r="LC40" s="157"/>
      <c r="LD40" s="157"/>
      <c r="LE40" s="157"/>
      <c r="LF40" s="157"/>
      <c r="LG40" s="157"/>
      <c r="LH40" s="157"/>
      <c r="LI40" s="157"/>
      <c r="LJ40" s="157"/>
      <c r="LK40" s="157"/>
      <c r="LL40" s="157"/>
      <c r="LM40" s="157"/>
      <c r="LN40" s="157"/>
      <c r="LO40" s="157"/>
      <c r="LP40" s="157"/>
      <c r="LQ40" s="157"/>
      <c r="LR40" s="157"/>
      <c r="LS40" s="157"/>
      <c r="LT40" s="157"/>
      <c r="LU40" s="157"/>
      <c r="LV40" s="157"/>
      <c r="LW40" s="157"/>
      <c r="LX40" s="157"/>
      <c r="LY40" s="157"/>
      <c r="LZ40" s="157"/>
      <c r="MA40" s="157"/>
      <c r="MB40" s="157"/>
      <c r="MC40" s="157"/>
      <c r="MD40" s="157"/>
      <c r="ME40" s="157"/>
      <c r="MF40" s="157"/>
      <c r="MG40" s="157"/>
      <c r="MH40" s="157"/>
      <c r="MI40" s="157"/>
      <c r="MJ40" s="157"/>
      <c r="MK40" s="157"/>
      <c r="ML40" s="157"/>
      <c r="MM40" s="157"/>
      <c r="MN40" s="157"/>
      <c r="MO40" s="157"/>
      <c r="MP40" s="157"/>
      <c r="MQ40" s="157"/>
      <c r="MR40" s="157"/>
      <c r="MS40" s="157"/>
      <c r="MT40" s="157"/>
      <c r="MU40" s="157"/>
      <c r="MV40" s="157"/>
      <c r="MW40" s="157"/>
      <c r="MX40" s="157"/>
      <c r="MY40" s="157"/>
      <c r="MZ40" s="157"/>
      <c r="NA40" s="157"/>
      <c r="NB40" s="157"/>
      <c r="NC40" s="157"/>
      <c r="ND40" s="157"/>
      <c r="NE40" s="157"/>
      <c r="NF40" s="157"/>
      <c r="NG40" s="157"/>
      <c r="NH40" s="157"/>
      <c r="NI40" s="157"/>
      <c r="NJ40" s="157"/>
      <c r="NK40" s="157"/>
      <c r="NL40" s="157"/>
      <c r="NM40" s="157"/>
      <c r="NN40" s="157"/>
      <c r="NO40" s="157"/>
      <c r="NP40" s="157"/>
      <c r="NQ40" s="157"/>
      <c r="NR40" s="157"/>
      <c r="NS40" s="157"/>
      <c r="NT40" s="157"/>
      <c r="NU40" s="157"/>
      <c r="NV40" s="157"/>
      <c r="NW40" s="157"/>
      <c r="NX40" s="157"/>
      <c r="NY40" s="157"/>
      <c r="NZ40" s="157"/>
      <c r="OA40" s="157"/>
      <c r="OB40" s="157"/>
      <c r="OC40" s="157"/>
      <c r="OD40" s="157"/>
      <c r="OE40" s="157"/>
      <c r="OF40" s="157"/>
      <c r="OG40" s="157"/>
      <c r="OH40" s="157"/>
      <c r="OI40" s="157"/>
      <c r="OJ40" s="157"/>
      <c r="OK40" s="157"/>
      <c r="OL40" s="157"/>
      <c r="OM40" s="157"/>
      <c r="ON40" s="157"/>
      <c r="OO40" s="157"/>
      <c r="OP40" s="157"/>
      <c r="OQ40" s="157"/>
      <c r="OR40" s="157"/>
      <c r="OS40" s="157"/>
      <c r="OT40" s="157"/>
      <c r="OU40" s="157"/>
      <c r="OV40" s="157"/>
      <c r="OW40" s="157"/>
      <c r="OX40" s="157"/>
      <c r="OY40" s="157"/>
      <c r="OZ40" s="157"/>
      <c r="PA40" s="157"/>
    </row>
    <row r="41" spans="254:417">
      <c r="IT41" s="157"/>
      <c r="IU41" s="157"/>
      <c r="IV41" s="157"/>
      <c r="IW41" s="157"/>
      <c r="IY41" s="157"/>
      <c r="IZ41" s="157"/>
      <c r="JA41" s="157"/>
      <c r="JB41" s="157"/>
      <c r="JC41" s="157"/>
      <c r="JD41" s="157"/>
      <c r="JE41" s="157"/>
      <c r="JF41" s="157"/>
      <c r="JG41" s="157"/>
      <c r="JH41" s="157"/>
      <c r="JI41" s="157"/>
      <c r="JJ41" s="157"/>
      <c r="JK41" s="157"/>
      <c r="JL41" s="157"/>
      <c r="JM41" s="157"/>
      <c r="JN41" s="157"/>
      <c r="JO41" s="157"/>
      <c r="JP41" s="157"/>
      <c r="JQ41" s="157"/>
      <c r="JR41" s="157"/>
      <c r="JS41" s="157"/>
      <c r="JT41" s="157"/>
      <c r="JU41" s="157"/>
      <c r="JV41" s="157"/>
      <c r="JW41" s="157"/>
      <c r="JX41" s="157"/>
      <c r="JY41" s="157"/>
      <c r="JZ41" s="157"/>
      <c r="KA41" s="157"/>
      <c r="KB41" s="157"/>
      <c r="KC41" s="157"/>
      <c r="KD41" s="157"/>
      <c r="KE41" s="157"/>
      <c r="KF41" s="157"/>
      <c r="KG41" s="157"/>
      <c r="KH41" s="157"/>
      <c r="KI41" s="157"/>
      <c r="KJ41" s="157"/>
      <c r="KK41" s="157"/>
      <c r="KL41" s="157"/>
      <c r="KM41" s="157"/>
      <c r="KN41" s="157"/>
      <c r="KO41" s="157"/>
      <c r="KP41" s="157"/>
      <c r="KQ41" s="157"/>
      <c r="KR41" s="157"/>
      <c r="KS41" s="157"/>
      <c r="KT41" s="157"/>
      <c r="KU41" s="157"/>
      <c r="KV41" s="157"/>
      <c r="KW41" s="157"/>
      <c r="KX41" s="157"/>
      <c r="KY41" s="157"/>
      <c r="KZ41" s="157"/>
      <c r="LA41" s="157"/>
      <c r="LB41" s="157"/>
      <c r="LC41" s="157"/>
      <c r="LD41" s="157"/>
      <c r="LE41" s="157"/>
      <c r="LF41" s="157"/>
      <c r="LG41" s="157"/>
      <c r="LH41" s="157"/>
      <c r="LI41" s="157"/>
      <c r="LJ41" s="157"/>
      <c r="LK41" s="157"/>
      <c r="LL41" s="157"/>
      <c r="LM41" s="157"/>
      <c r="LN41" s="157"/>
      <c r="LO41" s="157"/>
      <c r="LP41" s="157"/>
      <c r="LQ41" s="157"/>
      <c r="LR41" s="157"/>
      <c r="LS41" s="157"/>
      <c r="LT41" s="157"/>
      <c r="LU41" s="157"/>
      <c r="LV41" s="157"/>
      <c r="LW41" s="157"/>
      <c r="LX41" s="157"/>
      <c r="LY41" s="157"/>
      <c r="LZ41" s="157"/>
      <c r="MA41" s="157"/>
      <c r="MB41" s="157"/>
      <c r="MC41" s="157"/>
      <c r="MD41" s="157"/>
      <c r="ME41" s="157"/>
      <c r="MF41" s="157"/>
      <c r="MG41" s="157"/>
      <c r="MH41" s="157"/>
      <c r="MI41" s="157"/>
      <c r="MJ41" s="157"/>
      <c r="MK41" s="157"/>
      <c r="ML41" s="157"/>
      <c r="MM41" s="157"/>
      <c r="MN41" s="157"/>
      <c r="MO41" s="157"/>
      <c r="MP41" s="157"/>
      <c r="MQ41" s="157"/>
      <c r="MR41" s="157"/>
      <c r="MS41" s="157"/>
      <c r="MT41" s="157"/>
      <c r="MU41" s="157"/>
      <c r="MV41" s="157"/>
      <c r="MW41" s="157"/>
      <c r="MX41" s="157"/>
      <c r="MY41" s="157"/>
      <c r="MZ41" s="157"/>
      <c r="NA41" s="157"/>
      <c r="NB41" s="157"/>
      <c r="NC41" s="157"/>
      <c r="ND41" s="157"/>
      <c r="NE41" s="157"/>
      <c r="NF41" s="157"/>
      <c r="NG41" s="157"/>
      <c r="NH41" s="157"/>
      <c r="NI41" s="157"/>
      <c r="NJ41" s="157"/>
      <c r="NK41" s="157"/>
      <c r="NL41" s="157"/>
      <c r="NM41" s="157"/>
      <c r="NN41" s="157"/>
      <c r="NO41" s="157"/>
      <c r="NP41" s="157"/>
      <c r="NQ41" s="157"/>
      <c r="NR41" s="157"/>
      <c r="NS41" s="157"/>
      <c r="NT41" s="157"/>
      <c r="NU41" s="157"/>
      <c r="NV41" s="157"/>
      <c r="NW41" s="157"/>
      <c r="NX41" s="157"/>
      <c r="NY41" s="157"/>
      <c r="NZ41" s="157"/>
      <c r="OA41" s="157"/>
      <c r="OB41" s="157"/>
      <c r="OC41" s="157"/>
      <c r="OD41" s="157"/>
      <c r="OE41" s="157"/>
      <c r="OF41" s="157"/>
      <c r="OG41" s="157"/>
      <c r="OH41" s="157"/>
      <c r="OI41" s="157"/>
      <c r="OJ41" s="157"/>
      <c r="OK41" s="157"/>
      <c r="OL41" s="157"/>
      <c r="OM41" s="157"/>
      <c r="ON41" s="157"/>
      <c r="OO41" s="157"/>
      <c r="OP41" s="157"/>
      <c r="OQ41" s="157"/>
      <c r="OR41" s="157"/>
      <c r="OS41" s="157"/>
      <c r="OT41" s="157"/>
      <c r="OU41" s="157"/>
      <c r="OV41" s="157"/>
      <c r="OW41" s="157"/>
      <c r="OX41" s="157"/>
      <c r="OY41" s="157"/>
      <c r="OZ41" s="157"/>
      <c r="PA41" s="157"/>
    </row>
    <row r="42" spans="254:417">
      <c r="IT42" s="157"/>
      <c r="IU42" s="157"/>
      <c r="IV42" s="157"/>
      <c r="IW42" s="157"/>
      <c r="IY42" s="157"/>
      <c r="IZ42" s="157"/>
      <c r="JA42" s="157"/>
      <c r="JB42" s="157"/>
      <c r="JC42" s="157"/>
      <c r="JD42" s="157"/>
      <c r="JE42" s="157"/>
      <c r="JF42" s="157"/>
      <c r="JG42" s="157"/>
      <c r="JH42" s="157"/>
      <c r="JI42" s="157"/>
      <c r="JJ42" s="157"/>
      <c r="JK42" s="157"/>
      <c r="JL42" s="157"/>
      <c r="JM42" s="157"/>
      <c r="JN42" s="157"/>
      <c r="JO42" s="157"/>
      <c r="JP42" s="157"/>
      <c r="JQ42" s="157"/>
      <c r="JR42" s="157"/>
      <c r="JS42" s="157"/>
      <c r="JT42" s="157"/>
      <c r="JU42" s="157"/>
      <c r="JV42" s="157"/>
      <c r="JW42" s="157"/>
      <c r="JX42" s="157"/>
      <c r="JY42" s="157"/>
      <c r="JZ42" s="157"/>
      <c r="KA42" s="157"/>
      <c r="KB42" s="157"/>
      <c r="KC42" s="157"/>
      <c r="KD42" s="157"/>
      <c r="KE42" s="157"/>
      <c r="KF42" s="157"/>
      <c r="KG42" s="157"/>
      <c r="KH42" s="157"/>
      <c r="KI42" s="157"/>
      <c r="KJ42" s="157"/>
      <c r="KK42" s="157"/>
      <c r="KL42" s="157"/>
      <c r="KM42" s="157"/>
      <c r="KN42" s="157"/>
      <c r="KO42" s="157"/>
      <c r="KP42" s="157"/>
      <c r="KQ42" s="157"/>
      <c r="KR42" s="157"/>
      <c r="KS42" s="157"/>
      <c r="KT42" s="157"/>
      <c r="KU42" s="157"/>
      <c r="KV42" s="157"/>
      <c r="KW42" s="157"/>
      <c r="KX42" s="157"/>
      <c r="KY42" s="157"/>
      <c r="KZ42" s="157"/>
      <c r="LA42" s="157"/>
      <c r="LB42" s="157"/>
      <c r="LC42" s="157"/>
      <c r="LD42" s="157"/>
      <c r="LE42" s="157"/>
      <c r="LF42" s="157"/>
      <c r="LG42" s="157"/>
      <c r="LH42" s="157"/>
      <c r="LI42" s="157"/>
      <c r="LJ42" s="157"/>
      <c r="LK42" s="157"/>
      <c r="LL42" s="157"/>
      <c r="LM42" s="157"/>
      <c r="LN42" s="157"/>
      <c r="LO42" s="157"/>
      <c r="LP42" s="157"/>
      <c r="LQ42" s="157"/>
      <c r="LR42" s="157"/>
      <c r="LS42" s="157"/>
      <c r="LT42" s="157"/>
      <c r="LU42" s="157"/>
      <c r="LV42" s="157"/>
      <c r="LW42" s="157"/>
      <c r="LX42" s="157"/>
      <c r="LY42" s="157"/>
      <c r="LZ42" s="157"/>
      <c r="MA42" s="157"/>
      <c r="MB42" s="157"/>
      <c r="MC42" s="157"/>
      <c r="MD42" s="157"/>
      <c r="ME42" s="157"/>
      <c r="MF42" s="157"/>
      <c r="MG42" s="157"/>
      <c r="MH42" s="157"/>
      <c r="MI42" s="157"/>
      <c r="MJ42" s="157"/>
      <c r="MK42" s="157"/>
      <c r="ML42" s="157"/>
      <c r="MM42" s="157"/>
      <c r="MN42" s="157"/>
      <c r="MO42" s="157"/>
      <c r="MP42" s="157"/>
      <c r="MQ42" s="157"/>
      <c r="MR42" s="157"/>
      <c r="MS42" s="157"/>
      <c r="MT42" s="157"/>
      <c r="MU42" s="157"/>
      <c r="MV42" s="157"/>
      <c r="MW42" s="157"/>
      <c r="MX42" s="157"/>
      <c r="MY42" s="157"/>
      <c r="MZ42" s="157"/>
      <c r="NA42" s="157"/>
      <c r="NB42" s="157"/>
      <c r="NC42" s="157"/>
      <c r="ND42" s="157"/>
      <c r="NE42" s="157"/>
      <c r="NF42" s="157"/>
      <c r="NG42" s="157"/>
      <c r="NH42" s="157"/>
      <c r="NI42" s="157"/>
      <c r="NJ42" s="157"/>
      <c r="NK42" s="157"/>
      <c r="NL42" s="157"/>
      <c r="NM42" s="157"/>
      <c r="NN42" s="157"/>
      <c r="NO42" s="157"/>
      <c r="NP42" s="157"/>
      <c r="NQ42" s="157"/>
      <c r="NR42" s="157"/>
      <c r="NS42" s="157"/>
      <c r="NT42" s="157"/>
      <c r="NU42" s="157"/>
      <c r="NV42" s="157"/>
      <c r="NW42" s="157"/>
      <c r="NX42" s="157"/>
      <c r="NY42" s="157"/>
      <c r="NZ42" s="157"/>
      <c r="OA42" s="157"/>
      <c r="OB42" s="157"/>
      <c r="OC42" s="157"/>
      <c r="OD42" s="157"/>
      <c r="OE42" s="157"/>
      <c r="OF42" s="157"/>
      <c r="OG42" s="157"/>
      <c r="OH42" s="157"/>
      <c r="OI42" s="157"/>
      <c r="OJ42" s="157"/>
      <c r="OK42" s="157"/>
      <c r="OL42" s="157"/>
      <c r="OM42" s="157"/>
      <c r="ON42" s="157"/>
      <c r="OO42" s="157"/>
      <c r="OP42" s="157"/>
      <c r="OQ42" s="157"/>
      <c r="OR42" s="157"/>
      <c r="OS42" s="157"/>
      <c r="OT42" s="157"/>
      <c r="OU42" s="157"/>
      <c r="OV42" s="157"/>
      <c r="OW42" s="157"/>
      <c r="OX42" s="157"/>
      <c r="OY42" s="157"/>
      <c r="OZ42" s="157"/>
      <c r="PA42" s="157"/>
    </row>
    <row r="43" spans="254:417" ht="51">
      <c r="IT43" s="157"/>
      <c r="IU43" s="157"/>
      <c r="IV43" s="157"/>
      <c r="IW43" s="157"/>
      <c r="IY43" s="157"/>
      <c r="IZ43" s="157"/>
      <c r="JA43" s="157"/>
      <c r="JB43" s="157"/>
      <c r="JC43" s="157"/>
      <c r="JD43" s="157"/>
      <c r="JE43" s="157"/>
      <c r="JF43" s="157"/>
      <c r="JG43" s="157"/>
      <c r="JH43" s="157"/>
      <c r="JI43" s="157"/>
      <c r="JJ43" s="157"/>
      <c r="JK43" s="157"/>
      <c r="JL43" s="157"/>
      <c r="JM43" s="157"/>
      <c r="JN43" s="157"/>
      <c r="JO43" s="157"/>
      <c r="JP43" s="157"/>
      <c r="JQ43" s="157"/>
      <c r="JR43" s="157"/>
      <c r="JS43" s="157"/>
      <c r="JT43" s="157"/>
      <c r="JU43" s="157"/>
      <c r="JV43" s="157"/>
      <c r="JW43" s="157"/>
      <c r="JX43" s="157"/>
      <c r="JY43" s="157"/>
      <c r="JZ43" s="157"/>
      <c r="KA43" s="157"/>
      <c r="KB43" s="157"/>
      <c r="KC43" s="157"/>
      <c r="KD43" s="157"/>
      <c r="KE43" s="157"/>
      <c r="KF43" s="157"/>
      <c r="KG43" s="157"/>
      <c r="KH43" s="157"/>
      <c r="KI43" s="157"/>
      <c r="KJ43" s="157"/>
      <c r="KK43" s="157"/>
      <c r="KL43" s="157"/>
      <c r="KM43" s="157"/>
      <c r="KN43" s="157"/>
      <c r="KO43" s="157"/>
      <c r="KP43" s="157"/>
      <c r="KQ43" s="157"/>
      <c r="KR43" s="157"/>
      <c r="KS43" s="157"/>
      <c r="KT43" s="157"/>
      <c r="KU43" s="157"/>
      <c r="KV43" s="157"/>
      <c r="KW43" s="157"/>
      <c r="KX43" s="157"/>
      <c r="KY43" s="157"/>
      <c r="KZ43" s="157"/>
      <c r="LA43" s="157"/>
      <c r="LB43" s="157"/>
      <c r="LC43" s="157"/>
      <c r="LD43" s="157"/>
      <c r="LE43" s="157"/>
      <c r="LF43" s="157"/>
      <c r="LG43" s="157"/>
      <c r="LH43" s="157"/>
      <c r="LI43" s="157"/>
      <c r="LJ43" s="157"/>
      <c r="LK43" s="157"/>
      <c r="LL43" s="157"/>
      <c r="LM43" s="157"/>
      <c r="LN43" s="157"/>
      <c r="LO43" s="157"/>
      <c r="LP43" s="157"/>
      <c r="LQ43" s="157"/>
      <c r="LR43" s="157"/>
      <c r="LS43" s="157"/>
      <c r="LT43" s="157"/>
      <c r="LU43" s="157"/>
      <c r="LV43" s="157"/>
      <c r="LW43" s="157"/>
      <c r="LX43" s="157"/>
      <c r="LY43" s="157"/>
      <c r="LZ43" s="157"/>
      <c r="MA43" s="157"/>
      <c r="MB43" s="157"/>
      <c r="MC43" s="157"/>
      <c r="MD43" s="157"/>
      <c r="ME43" s="157"/>
      <c r="MF43" s="157"/>
      <c r="MG43" s="157"/>
      <c r="MH43" s="157"/>
      <c r="MI43" s="157"/>
      <c r="MJ43" s="157"/>
      <c r="MK43" s="157"/>
      <c r="ML43" s="157"/>
      <c r="MM43" s="157"/>
      <c r="MN43" s="157"/>
      <c r="MO43" s="157"/>
      <c r="MP43" s="157"/>
      <c r="MQ43" s="157"/>
      <c r="MR43" s="157"/>
      <c r="MS43" s="157"/>
      <c r="MT43" s="157"/>
      <c r="MU43" s="178" t="s">
        <v>372</v>
      </c>
      <c r="MV43" s="160" t="s">
        <v>183</v>
      </c>
      <c r="MW43" s="160" t="s">
        <v>95</v>
      </c>
      <c r="MX43" s="160" t="s">
        <v>198</v>
      </c>
      <c r="MY43" s="160" t="s">
        <v>184</v>
      </c>
      <c r="MZ43" s="157"/>
      <c r="NA43" s="160" t="s">
        <v>185</v>
      </c>
      <c r="NB43" s="160" t="s">
        <v>186</v>
      </c>
      <c r="NC43" s="160" t="s">
        <v>190</v>
      </c>
      <c r="ND43" s="160" t="s">
        <v>192</v>
      </c>
      <c r="NE43" s="157"/>
      <c r="NF43" s="160" t="s">
        <v>108</v>
      </c>
      <c r="NG43" s="160" t="s">
        <v>106</v>
      </c>
      <c r="NH43" s="160" t="s">
        <v>107</v>
      </c>
      <c r="NI43" s="160" t="s">
        <v>197</v>
      </c>
      <c r="NJ43" s="157"/>
      <c r="NK43" s="157"/>
      <c r="NL43" s="157"/>
      <c r="NM43" s="157"/>
      <c r="NN43" s="157"/>
      <c r="NO43" s="157"/>
      <c r="NP43" s="157"/>
      <c r="NQ43" s="157"/>
      <c r="NR43" s="157"/>
      <c r="NS43" s="157"/>
      <c r="NT43" s="157"/>
      <c r="NU43" s="157"/>
      <c r="NV43" s="157"/>
      <c r="NW43" s="157"/>
      <c r="NX43" s="157"/>
      <c r="NY43" s="157"/>
      <c r="NZ43" s="157"/>
      <c r="OA43" s="157"/>
      <c r="OB43" s="157"/>
      <c r="OC43" s="157"/>
      <c r="OD43" s="157"/>
      <c r="OE43" s="157"/>
      <c r="OF43" s="157"/>
      <c r="OG43" s="157"/>
      <c r="OH43" s="157"/>
      <c r="OI43" s="157"/>
      <c r="OJ43" s="157"/>
      <c r="OK43" s="157"/>
      <c r="OL43" s="157"/>
      <c r="OM43" s="157"/>
      <c r="ON43" s="157"/>
      <c r="OO43" s="157"/>
      <c r="OP43" s="157"/>
      <c r="OQ43" s="157"/>
      <c r="OR43" s="157"/>
      <c r="OS43" s="157"/>
      <c r="OT43" s="157"/>
      <c r="OU43" s="157"/>
      <c r="OV43" s="157"/>
      <c r="OW43" s="157"/>
      <c r="OX43" s="157"/>
      <c r="OY43" s="157"/>
      <c r="OZ43" s="157"/>
      <c r="PA43" s="157"/>
    </row>
    <row r="44" spans="254:417">
      <c r="IT44" s="157"/>
      <c r="IU44" s="157"/>
      <c r="IV44" s="157"/>
      <c r="IW44" s="157"/>
      <c r="IY44" s="157"/>
      <c r="IZ44" s="157"/>
      <c r="JA44" s="157"/>
      <c r="JB44" s="157"/>
      <c r="JC44" s="157"/>
      <c r="JD44" s="157"/>
      <c r="JE44" s="157"/>
      <c r="JF44" s="157"/>
      <c r="JG44" s="157"/>
      <c r="JH44" s="157"/>
      <c r="JI44" s="157"/>
      <c r="JJ44" s="157"/>
      <c r="JK44" s="157"/>
      <c r="JL44" s="157"/>
      <c r="JM44" s="157"/>
      <c r="JN44" s="157"/>
      <c r="JO44" s="157"/>
      <c r="JP44" s="157"/>
      <c r="JQ44" s="157"/>
      <c r="JR44" s="157"/>
      <c r="JS44" s="157"/>
      <c r="JT44" s="157"/>
      <c r="JU44" s="157"/>
      <c r="JV44" s="157"/>
      <c r="JW44" s="157"/>
      <c r="JX44" s="157"/>
      <c r="JY44" s="157"/>
      <c r="JZ44" s="157"/>
      <c r="KA44" s="157"/>
      <c r="KB44" s="157"/>
      <c r="KC44" s="157"/>
      <c r="KD44" s="157"/>
      <c r="KE44" s="157"/>
      <c r="KF44" s="157"/>
      <c r="KG44" s="157"/>
      <c r="KH44" s="157"/>
      <c r="KI44" s="157"/>
      <c r="KJ44" s="157"/>
      <c r="KK44" s="157"/>
      <c r="KL44" s="157"/>
      <c r="KM44" s="157"/>
      <c r="KN44" s="157"/>
      <c r="KO44" s="157"/>
      <c r="KP44" s="157"/>
      <c r="KQ44" s="157"/>
      <c r="KR44" s="157"/>
      <c r="KS44" s="157"/>
      <c r="KT44" s="157"/>
      <c r="KU44" s="157"/>
      <c r="KV44" s="157"/>
      <c r="KW44" s="157"/>
      <c r="KX44" s="157"/>
      <c r="KY44" s="157"/>
      <c r="KZ44" s="157"/>
      <c r="LA44" s="157"/>
      <c r="LB44" s="157"/>
      <c r="LC44" s="157"/>
      <c r="LD44" s="157"/>
      <c r="LE44" s="157"/>
      <c r="LF44" s="157"/>
      <c r="LG44" s="157"/>
      <c r="LH44" s="157"/>
      <c r="LI44" s="157"/>
      <c r="LJ44" s="157"/>
      <c r="LK44" s="157"/>
      <c r="LL44" s="157"/>
      <c r="LM44" s="157"/>
      <c r="LN44" s="157"/>
      <c r="LO44" s="157"/>
      <c r="LP44" s="157"/>
      <c r="LQ44" s="157"/>
      <c r="LR44" s="157"/>
      <c r="LS44" s="157"/>
      <c r="LT44" s="157"/>
      <c r="LU44" s="157"/>
      <c r="LV44" s="157"/>
      <c r="LW44" s="157"/>
      <c r="LX44" s="157"/>
      <c r="LY44" s="157"/>
      <c r="LZ44" s="157"/>
      <c r="MA44" s="157"/>
      <c r="MB44" s="157"/>
      <c r="MC44" s="157"/>
      <c r="MD44" s="157"/>
      <c r="ME44" s="157"/>
      <c r="MF44" s="157"/>
      <c r="MG44" s="157"/>
      <c r="MH44" s="157"/>
      <c r="MI44" s="157"/>
      <c r="MJ44" s="157"/>
      <c r="MK44" s="157"/>
      <c r="ML44" s="157"/>
      <c r="MM44" s="157"/>
      <c r="MN44" s="157"/>
      <c r="MO44" s="157"/>
      <c r="MP44" s="157"/>
      <c r="MQ44" s="157"/>
      <c r="MR44" s="157"/>
      <c r="MS44" s="157"/>
      <c r="MT44" s="157"/>
      <c r="MU44" s="164" t="s">
        <v>81</v>
      </c>
      <c r="MV44" s="162">
        <v>304936</v>
      </c>
      <c r="MW44" s="162">
        <v>-2231</v>
      </c>
      <c r="MX44" s="162">
        <v>-23008</v>
      </c>
      <c r="MY44" s="162">
        <v>1465831</v>
      </c>
      <c r="MZ44" s="157"/>
      <c r="NA44" s="162">
        <v>344248</v>
      </c>
      <c r="NB44" s="162">
        <v>30610</v>
      </c>
      <c r="NC44" s="162">
        <v>4342</v>
      </c>
      <c r="ND44" s="162">
        <v>1465831</v>
      </c>
      <c r="NE44" s="157"/>
      <c r="NF44" s="162">
        <v>375593</v>
      </c>
      <c r="NG44" s="162">
        <v>64483</v>
      </c>
      <c r="NH44" s="162">
        <v>38486</v>
      </c>
      <c r="NI44" s="162">
        <v>1465831</v>
      </c>
      <c r="NJ44" s="157"/>
      <c r="NK44" s="157"/>
      <c r="NL44" s="157"/>
      <c r="NM44" s="157"/>
      <c r="NN44" s="157"/>
      <c r="NO44" s="157"/>
      <c r="NP44" s="157"/>
      <c r="NQ44" s="157"/>
      <c r="NR44" s="157"/>
      <c r="NS44" s="157"/>
      <c r="NT44" s="157"/>
      <c r="NU44" s="157"/>
      <c r="NV44" s="157"/>
      <c r="NW44" s="157"/>
      <c r="NX44" s="157"/>
      <c r="NY44" s="157"/>
      <c r="NZ44" s="157"/>
      <c r="OA44" s="157"/>
      <c r="OB44" s="157"/>
      <c r="OC44" s="157"/>
      <c r="OD44" s="157"/>
      <c r="OE44" s="157"/>
      <c r="OF44" s="157"/>
      <c r="OG44" s="157"/>
      <c r="OH44" s="157"/>
      <c r="OI44" s="157"/>
      <c r="OJ44" s="157"/>
      <c r="OK44" s="157"/>
      <c r="OL44" s="157"/>
      <c r="OM44" s="157"/>
      <c r="ON44" s="157"/>
      <c r="OO44" s="157"/>
      <c r="OP44" s="157"/>
      <c r="OQ44" s="157"/>
      <c r="OR44" s="157"/>
      <c r="OS44" s="157"/>
      <c r="OT44" s="157"/>
      <c r="OU44" s="157"/>
      <c r="OV44" s="157"/>
      <c r="OW44" s="157"/>
      <c r="OX44" s="157"/>
      <c r="OY44" s="157"/>
      <c r="OZ44" s="157"/>
      <c r="PA44" s="157"/>
    </row>
    <row r="45" spans="254:417">
      <c r="IT45" s="157"/>
      <c r="IU45" s="157"/>
      <c r="IV45" s="157"/>
      <c r="IW45" s="157"/>
      <c r="IY45" s="157"/>
      <c r="IZ45" s="157"/>
      <c r="JA45" s="157"/>
      <c r="JB45" s="157"/>
      <c r="JC45" s="157"/>
      <c r="JD45" s="157"/>
      <c r="JE45" s="157"/>
      <c r="JF45" s="157"/>
      <c r="JG45" s="157"/>
      <c r="JH45" s="157"/>
      <c r="JI45" s="157"/>
      <c r="JJ45" s="157"/>
      <c r="JK45" s="157"/>
      <c r="JL45" s="157"/>
      <c r="JM45" s="157"/>
      <c r="JN45" s="157"/>
      <c r="JO45" s="157"/>
      <c r="JP45" s="157"/>
      <c r="JQ45" s="157"/>
      <c r="JR45" s="157"/>
      <c r="JS45" s="157"/>
      <c r="JT45" s="157"/>
      <c r="JU45" s="157"/>
      <c r="JV45" s="157"/>
      <c r="JW45" s="157"/>
      <c r="JX45" s="157"/>
      <c r="JY45" s="157"/>
      <c r="JZ45" s="157"/>
      <c r="KA45" s="157"/>
      <c r="KB45" s="157"/>
      <c r="KC45" s="157"/>
      <c r="KD45" s="157"/>
      <c r="KE45" s="157"/>
      <c r="KF45" s="157"/>
      <c r="KG45" s="157"/>
      <c r="KH45" s="157"/>
      <c r="KI45" s="157"/>
      <c r="KJ45" s="157"/>
      <c r="KK45" s="157"/>
      <c r="KL45" s="157"/>
      <c r="KM45" s="157"/>
      <c r="KN45" s="157"/>
      <c r="KO45" s="157"/>
      <c r="KP45" s="157"/>
      <c r="KQ45" s="157"/>
      <c r="KR45" s="157"/>
      <c r="KS45" s="157"/>
      <c r="KT45" s="157"/>
      <c r="KU45" s="157"/>
      <c r="KV45" s="157"/>
      <c r="KW45" s="157"/>
      <c r="KX45" s="157"/>
      <c r="KY45" s="157"/>
      <c r="KZ45" s="157"/>
      <c r="LA45" s="157"/>
      <c r="LB45" s="157"/>
      <c r="LC45" s="157"/>
      <c r="LD45" s="157"/>
      <c r="LE45" s="157"/>
      <c r="LF45" s="157"/>
      <c r="LG45" s="157"/>
      <c r="LH45" s="157"/>
      <c r="LI45" s="157"/>
      <c r="LJ45" s="157"/>
      <c r="LK45" s="157"/>
      <c r="LL45" s="157"/>
      <c r="LM45" s="157"/>
      <c r="LN45" s="157"/>
      <c r="LO45" s="157"/>
      <c r="LP45" s="157"/>
      <c r="LQ45" s="157"/>
      <c r="LR45" s="157"/>
      <c r="LS45" s="157"/>
      <c r="LT45" s="157"/>
      <c r="LU45" s="157"/>
      <c r="LV45" s="157"/>
      <c r="LW45" s="157"/>
      <c r="LX45" s="157"/>
      <c r="LY45" s="157"/>
      <c r="LZ45" s="157"/>
      <c r="MA45" s="157"/>
      <c r="MB45" s="157"/>
      <c r="MC45" s="157"/>
      <c r="MD45" s="157"/>
      <c r="ME45" s="157"/>
      <c r="MF45" s="157"/>
      <c r="MG45" s="157"/>
      <c r="MH45" s="157"/>
      <c r="MI45" s="157"/>
      <c r="MJ45" s="157"/>
      <c r="MK45" s="157"/>
      <c r="ML45" s="157"/>
      <c r="MM45" s="157"/>
      <c r="MN45" s="157"/>
      <c r="MO45" s="157"/>
      <c r="MP45" s="157"/>
      <c r="MQ45" s="157"/>
      <c r="MR45" s="157"/>
      <c r="MS45" s="157"/>
      <c r="MT45" s="157"/>
      <c r="MU45" s="163" t="s">
        <v>82</v>
      </c>
      <c r="MV45" s="156">
        <v>1234695</v>
      </c>
      <c r="MW45" s="156">
        <v>-88343</v>
      </c>
      <c r="MX45" s="156">
        <v>-204787</v>
      </c>
      <c r="MY45" s="180">
        <v>8646833</v>
      </c>
      <c r="MZ45" s="157"/>
      <c r="NA45" s="156">
        <v>1069434</v>
      </c>
      <c r="NB45" s="156">
        <v>89056</v>
      </c>
      <c r="NC45" s="156">
        <v>-23575</v>
      </c>
      <c r="ND45" s="180">
        <v>8646833</v>
      </c>
      <c r="NE45" s="157"/>
      <c r="NF45" s="156">
        <v>1063065</v>
      </c>
      <c r="NG45" s="156">
        <v>-129465</v>
      </c>
      <c r="NH45" s="156">
        <v>-258674</v>
      </c>
      <c r="NI45" s="180">
        <v>8646833</v>
      </c>
      <c r="NJ45" s="157"/>
      <c r="NK45" s="157"/>
      <c r="NL45" s="157"/>
      <c r="NM45" s="157"/>
      <c r="NN45" s="157"/>
      <c r="NO45" s="157"/>
      <c r="NP45" s="157"/>
      <c r="NQ45" s="157"/>
      <c r="NR45" s="157"/>
      <c r="NS45" s="157"/>
      <c r="NT45" s="157"/>
      <c r="NU45" s="157"/>
      <c r="NV45" s="157"/>
      <c r="NW45" s="157"/>
      <c r="NX45" s="157"/>
      <c r="NY45" s="157"/>
      <c r="NZ45" s="157"/>
      <c r="OA45" s="157"/>
      <c r="OB45" s="157"/>
      <c r="OC45" s="157"/>
      <c r="OD45" s="157"/>
      <c r="OE45" s="157"/>
      <c r="OF45" s="157"/>
      <c r="OG45" s="157"/>
      <c r="OH45" s="157"/>
      <c r="OI45" s="157"/>
      <c r="OJ45" s="157"/>
      <c r="OK45" s="157"/>
      <c r="OL45" s="157"/>
      <c r="OM45" s="157"/>
      <c r="ON45" s="157"/>
      <c r="OO45" s="157"/>
      <c r="OP45" s="157"/>
      <c r="OQ45" s="157"/>
      <c r="OR45" s="157"/>
      <c r="OS45" s="157"/>
      <c r="OT45" s="157"/>
      <c r="OU45" s="157"/>
      <c r="OV45" s="157"/>
      <c r="OW45" s="157"/>
      <c r="OX45" s="157"/>
      <c r="OY45" s="157"/>
      <c r="OZ45" s="157"/>
      <c r="PA45" s="157"/>
    </row>
    <row r="46" spans="254:417">
      <c r="IT46" s="157"/>
      <c r="IU46" s="157"/>
      <c r="IV46" s="157"/>
      <c r="IW46" s="157"/>
      <c r="IY46" s="157"/>
      <c r="IZ46" s="157"/>
      <c r="JA46" s="157"/>
      <c r="JB46" s="157"/>
      <c r="JC46" s="157"/>
      <c r="JD46" s="157"/>
      <c r="JE46" s="157"/>
      <c r="JF46" s="157"/>
      <c r="JG46" s="157"/>
      <c r="JH46" s="157"/>
      <c r="JI46" s="157"/>
      <c r="JJ46" s="157"/>
      <c r="JK46" s="157"/>
      <c r="JL46" s="157"/>
      <c r="JM46" s="157"/>
      <c r="JN46" s="157"/>
      <c r="JO46" s="157"/>
      <c r="JP46" s="157"/>
      <c r="JQ46" s="157"/>
      <c r="JR46" s="157"/>
      <c r="JS46" s="157"/>
      <c r="JT46" s="157"/>
      <c r="JU46" s="157"/>
      <c r="JV46" s="157"/>
      <c r="JW46" s="157"/>
      <c r="JX46" s="157"/>
      <c r="JY46" s="157"/>
      <c r="JZ46" s="157"/>
      <c r="KA46" s="157"/>
      <c r="KB46" s="157"/>
      <c r="KC46" s="157"/>
      <c r="KD46" s="157"/>
      <c r="KE46" s="157"/>
      <c r="KF46" s="157"/>
      <c r="KG46" s="157"/>
      <c r="KH46" s="157"/>
      <c r="KI46" s="157"/>
      <c r="KJ46" s="157"/>
      <c r="KK46" s="157"/>
      <c r="KL46" s="157"/>
      <c r="KM46" s="157"/>
      <c r="KN46" s="157"/>
      <c r="KO46" s="157"/>
      <c r="KP46" s="157"/>
      <c r="KQ46" s="157"/>
      <c r="KR46" s="157"/>
      <c r="KS46" s="157"/>
      <c r="KT46" s="157"/>
      <c r="KU46" s="157"/>
      <c r="KV46" s="157"/>
      <c r="KW46" s="157"/>
      <c r="KX46" s="157"/>
      <c r="KY46" s="157"/>
      <c r="KZ46" s="157"/>
      <c r="LA46" s="157"/>
      <c r="LB46" s="157"/>
      <c r="LC46" s="157"/>
      <c r="LD46" s="157"/>
      <c r="LE46" s="157"/>
      <c r="LF46" s="157"/>
      <c r="LG46" s="157"/>
      <c r="LH46" s="157"/>
      <c r="LI46" s="157"/>
      <c r="LJ46" s="157"/>
      <c r="LK46" s="157"/>
      <c r="LL46" s="157"/>
      <c r="LM46" s="157"/>
      <c r="LN46" s="157"/>
      <c r="LO46" s="157"/>
      <c r="LP46" s="157"/>
      <c r="LQ46" s="157"/>
      <c r="LR46" s="157"/>
      <c r="LS46" s="157"/>
      <c r="LT46" s="157"/>
      <c r="LU46" s="157"/>
      <c r="LV46" s="157"/>
      <c r="LW46" s="157"/>
      <c r="LX46" s="157"/>
      <c r="LY46" s="157"/>
      <c r="LZ46" s="157"/>
      <c r="MA46" s="157"/>
      <c r="MB46" s="157"/>
      <c r="MC46" s="157"/>
      <c r="MD46" s="157"/>
      <c r="ME46" s="157"/>
      <c r="MF46" s="157"/>
      <c r="MG46" s="157"/>
      <c r="MH46" s="157"/>
      <c r="MI46" s="157"/>
      <c r="MJ46" s="157"/>
      <c r="MK46" s="157"/>
      <c r="ML46" s="157"/>
      <c r="MM46" s="157"/>
      <c r="MN46" s="157"/>
      <c r="MO46" s="157"/>
      <c r="MP46" s="157"/>
      <c r="MQ46" s="157"/>
      <c r="MR46" s="157"/>
      <c r="MS46" s="157"/>
      <c r="MT46" s="157"/>
      <c r="MU46" s="163" t="s">
        <v>83</v>
      </c>
      <c r="MV46" s="156">
        <v>75595</v>
      </c>
      <c r="MW46" s="156">
        <v>51721</v>
      </c>
      <c r="MX46" s="156">
        <v>36103</v>
      </c>
      <c r="MY46" s="180">
        <v>1944940</v>
      </c>
      <c r="MZ46" s="157"/>
      <c r="NA46" s="156">
        <v>36445</v>
      </c>
      <c r="NB46" s="156">
        <v>21782</v>
      </c>
      <c r="NC46" s="156">
        <v>12906</v>
      </c>
      <c r="ND46" s="180">
        <v>1944940</v>
      </c>
      <c r="NE46" s="157"/>
      <c r="NF46" s="156">
        <v>50919</v>
      </c>
      <c r="NG46" s="156">
        <v>34878</v>
      </c>
      <c r="NH46" s="156">
        <v>25991</v>
      </c>
      <c r="NI46" s="180">
        <v>1944940</v>
      </c>
      <c r="NJ46" s="157"/>
      <c r="NK46" s="157"/>
      <c r="NL46" s="157"/>
      <c r="NM46" s="157"/>
      <c r="NN46" s="157"/>
      <c r="NO46" s="157"/>
      <c r="NP46" s="157"/>
      <c r="NQ46" s="157"/>
      <c r="NR46" s="157"/>
      <c r="NS46" s="157"/>
      <c r="NT46" s="157"/>
      <c r="NU46" s="157"/>
      <c r="NV46" s="157"/>
      <c r="NW46" s="157"/>
      <c r="NX46" s="157"/>
      <c r="NY46" s="157"/>
      <c r="NZ46" s="157"/>
      <c r="OA46" s="157"/>
      <c r="OB46" s="157"/>
      <c r="OC46" s="157"/>
      <c r="OD46" s="157"/>
      <c r="OE46" s="157"/>
      <c r="OF46" s="157"/>
      <c r="OG46" s="157"/>
      <c r="OH46" s="157"/>
      <c r="OI46" s="157"/>
      <c r="OJ46" s="157"/>
      <c r="OK46" s="157"/>
      <c r="OL46" s="157"/>
      <c r="OM46" s="157"/>
      <c r="ON46" s="157"/>
      <c r="OO46" s="157"/>
      <c r="OP46" s="157"/>
      <c r="OQ46" s="157"/>
      <c r="OR46" s="157"/>
      <c r="OS46" s="157"/>
      <c r="OT46" s="157"/>
      <c r="OU46" s="157"/>
      <c r="OV46" s="157"/>
      <c r="OW46" s="157"/>
      <c r="OX46" s="157"/>
      <c r="OY46" s="157"/>
      <c r="OZ46" s="157"/>
      <c r="PA46" s="157"/>
    </row>
    <row r="47" spans="254:417">
      <c r="IT47" s="157"/>
      <c r="IU47" s="157"/>
      <c r="IV47" s="157"/>
      <c r="IW47" s="157"/>
      <c r="IY47" s="157"/>
      <c r="IZ47" s="157"/>
      <c r="JA47" s="157"/>
      <c r="JB47" s="157"/>
      <c r="JC47" s="157"/>
      <c r="JD47" s="157"/>
      <c r="JE47" s="157"/>
      <c r="JF47" s="157"/>
      <c r="JG47" s="157"/>
      <c r="JH47" s="157"/>
      <c r="JI47" s="157"/>
      <c r="JJ47" s="157"/>
      <c r="JK47" s="157"/>
      <c r="JL47" s="157"/>
      <c r="JM47" s="157"/>
      <c r="JN47" s="157"/>
      <c r="JO47" s="157"/>
      <c r="JP47" s="157"/>
      <c r="JQ47" s="157"/>
      <c r="JR47" s="157"/>
      <c r="JS47" s="157"/>
      <c r="JT47" s="157"/>
      <c r="JU47" s="157"/>
      <c r="JV47" s="157"/>
      <c r="JW47" s="157"/>
      <c r="JX47" s="157"/>
      <c r="JY47" s="157"/>
      <c r="JZ47" s="157"/>
      <c r="KA47" s="157"/>
      <c r="KB47" s="157"/>
      <c r="KC47" s="157"/>
      <c r="KD47" s="157"/>
      <c r="KE47" s="157"/>
      <c r="KF47" s="157"/>
      <c r="KG47" s="157"/>
      <c r="KH47" s="157"/>
      <c r="KI47" s="157"/>
      <c r="KJ47" s="157"/>
      <c r="KK47" s="157"/>
      <c r="KL47" s="157"/>
      <c r="KM47" s="157"/>
      <c r="KN47" s="157"/>
      <c r="KO47" s="157"/>
      <c r="KP47" s="157"/>
      <c r="KQ47" s="157"/>
      <c r="KR47" s="157"/>
      <c r="KS47" s="157"/>
      <c r="KT47" s="157"/>
      <c r="KU47" s="157"/>
      <c r="KV47" s="157"/>
      <c r="KW47" s="157"/>
      <c r="KX47" s="157"/>
      <c r="KY47" s="157"/>
      <c r="KZ47" s="157"/>
      <c r="LA47" s="157"/>
      <c r="LB47" s="157"/>
      <c r="LC47" s="157"/>
      <c r="LD47" s="157"/>
      <c r="LE47" s="157"/>
      <c r="LF47" s="157"/>
      <c r="LG47" s="157"/>
      <c r="LH47" s="157"/>
      <c r="LI47" s="157"/>
      <c r="LJ47" s="157"/>
      <c r="LK47" s="157"/>
      <c r="LL47" s="157"/>
      <c r="LM47" s="157"/>
      <c r="LN47" s="157"/>
      <c r="LO47" s="157"/>
      <c r="LP47" s="157"/>
      <c r="LQ47" s="157"/>
      <c r="LR47" s="157"/>
      <c r="LS47" s="157"/>
      <c r="LT47" s="157"/>
      <c r="LU47" s="157"/>
      <c r="LV47" s="157"/>
      <c r="LW47" s="157"/>
      <c r="LX47" s="157"/>
      <c r="LY47" s="157"/>
      <c r="LZ47" s="157"/>
      <c r="MA47" s="157"/>
      <c r="MB47" s="157"/>
      <c r="MC47" s="157"/>
      <c r="MD47" s="157"/>
      <c r="ME47" s="157"/>
      <c r="MF47" s="157"/>
      <c r="MG47" s="157"/>
      <c r="MH47" s="157"/>
      <c r="MI47" s="157"/>
      <c r="MJ47" s="157"/>
      <c r="MK47" s="157"/>
      <c r="ML47" s="157"/>
      <c r="MM47" s="157"/>
      <c r="MN47" s="157"/>
      <c r="MO47" s="157"/>
      <c r="MP47" s="157"/>
      <c r="MQ47" s="157"/>
      <c r="MR47" s="157"/>
      <c r="MS47" s="157"/>
      <c r="MT47" s="157"/>
      <c r="MU47" s="163" t="s">
        <v>84</v>
      </c>
      <c r="MV47" s="156">
        <v>412047</v>
      </c>
      <c r="MW47" s="156">
        <v>70560</v>
      </c>
      <c r="MX47" s="156">
        <v>34808</v>
      </c>
      <c r="MY47" s="156">
        <v>2169616</v>
      </c>
      <c r="MZ47" s="157"/>
      <c r="NA47" s="156">
        <v>242199</v>
      </c>
      <c r="NB47" s="156">
        <v>32175</v>
      </c>
      <c r="NC47" s="156">
        <v>1157</v>
      </c>
      <c r="ND47" s="156">
        <v>2169616</v>
      </c>
      <c r="NE47" s="157"/>
      <c r="NF47" s="156">
        <v>261695</v>
      </c>
      <c r="NG47" s="156">
        <v>27278</v>
      </c>
      <c r="NH47" s="156">
        <v>-1712</v>
      </c>
      <c r="NI47" s="156">
        <v>2169616</v>
      </c>
      <c r="NJ47" s="157"/>
      <c r="NK47" s="157"/>
      <c r="NL47" s="157"/>
      <c r="NM47" s="157"/>
      <c r="NN47" s="157"/>
      <c r="NO47" s="157"/>
      <c r="NP47" s="157"/>
      <c r="NQ47" s="157"/>
      <c r="NR47" s="157"/>
      <c r="NS47" s="157"/>
      <c r="NT47" s="157"/>
      <c r="NU47" s="157"/>
      <c r="NV47" s="157"/>
      <c r="NW47" s="157"/>
      <c r="NX47" s="157"/>
      <c r="NY47" s="157"/>
      <c r="NZ47" s="157"/>
      <c r="OA47" s="157"/>
      <c r="OB47" s="157"/>
      <c r="OC47" s="157"/>
      <c r="OD47" s="157"/>
      <c r="OE47" s="157"/>
      <c r="OF47" s="157"/>
      <c r="OG47" s="157"/>
      <c r="OH47" s="157"/>
      <c r="OI47" s="157"/>
      <c r="OJ47" s="157"/>
      <c r="OK47" s="157"/>
      <c r="OL47" s="157"/>
      <c r="OM47" s="157"/>
      <c r="ON47" s="157"/>
      <c r="OO47" s="157"/>
      <c r="OP47" s="157"/>
      <c r="OQ47" s="157"/>
      <c r="OR47" s="157"/>
      <c r="OS47" s="157"/>
      <c r="OT47" s="157"/>
      <c r="OU47" s="157"/>
      <c r="OV47" s="157"/>
      <c r="OW47" s="157"/>
      <c r="OX47" s="157"/>
      <c r="OY47" s="157"/>
      <c r="OZ47" s="157"/>
      <c r="PA47" s="157"/>
    </row>
    <row r="48" spans="254:417">
      <c r="IT48" s="157"/>
      <c r="IU48" s="157"/>
      <c r="IV48" s="157"/>
      <c r="IW48" s="157"/>
      <c r="IY48" s="157"/>
      <c r="IZ48" s="157"/>
      <c r="JA48" s="157"/>
      <c r="JB48" s="157"/>
      <c r="JC48" s="157"/>
      <c r="JD48" s="157"/>
      <c r="JE48" s="157"/>
      <c r="JF48" s="157"/>
      <c r="JG48" s="157"/>
      <c r="JH48" s="157"/>
      <c r="JI48" s="157"/>
      <c r="JJ48" s="157"/>
      <c r="JK48" s="157"/>
      <c r="JL48" s="157"/>
      <c r="JM48" s="157"/>
      <c r="JN48" s="157"/>
      <c r="JO48" s="157"/>
      <c r="JP48" s="157"/>
      <c r="JQ48" s="157"/>
      <c r="JR48" s="157"/>
      <c r="JS48" s="157"/>
      <c r="JT48" s="157"/>
      <c r="JU48" s="157"/>
      <c r="JV48" s="157"/>
      <c r="JW48" s="157"/>
      <c r="JX48" s="157"/>
      <c r="JY48" s="157"/>
      <c r="JZ48" s="157"/>
      <c r="KA48" s="157"/>
      <c r="KB48" s="157"/>
      <c r="KC48" s="157"/>
      <c r="KD48" s="157"/>
      <c r="KE48" s="157"/>
      <c r="KF48" s="157"/>
      <c r="KG48" s="157"/>
      <c r="KH48" s="157"/>
      <c r="KI48" s="157"/>
      <c r="KJ48" s="157"/>
      <c r="KK48" s="157"/>
      <c r="KL48" s="157"/>
      <c r="KM48" s="157"/>
      <c r="KN48" s="157"/>
      <c r="KO48" s="157"/>
      <c r="KP48" s="157"/>
      <c r="KQ48" s="157"/>
      <c r="KR48" s="157"/>
      <c r="KS48" s="157"/>
      <c r="KT48" s="157"/>
      <c r="KU48" s="157"/>
      <c r="KV48" s="157"/>
      <c r="KW48" s="157"/>
      <c r="KX48" s="157"/>
      <c r="KY48" s="157"/>
      <c r="KZ48" s="157"/>
      <c r="LA48" s="157"/>
      <c r="LB48" s="157"/>
      <c r="LC48" s="157"/>
      <c r="LD48" s="157"/>
      <c r="LE48" s="157"/>
      <c r="LF48" s="157"/>
      <c r="LG48" s="157"/>
      <c r="LH48" s="157"/>
      <c r="LI48" s="157"/>
      <c r="LJ48" s="157"/>
      <c r="LK48" s="157"/>
      <c r="LL48" s="157"/>
      <c r="LM48" s="157"/>
      <c r="LN48" s="157"/>
      <c r="LO48" s="157"/>
      <c r="LP48" s="157"/>
      <c r="LQ48" s="157"/>
      <c r="LR48" s="157"/>
      <c r="LS48" s="157"/>
      <c r="LT48" s="157"/>
      <c r="LU48" s="157"/>
      <c r="LV48" s="157"/>
      <c r="LW48" s="157"/>
      <c r="LX48" s="157"/>
      <c r="LY48" s="157"/>
      <c r="LZ48" s="157"/>
      <c r="MA48" s="157"/>
      <c r="MB48" s="157"/>
      <c r="MC48" s="157"/>
      <c r="MD48" s="157"/>
      <c r="ME48" s="157"/>
      <c r="MF48" s="157"/>
      <c r="MG48" s="157"/>
      <c r="MH48" s="157"/>
      <c r="MI48" s="157"/>
      <c r="MJ48" s="157"/>
      <c r="MK48" s="157"/>
      <c r="ML48" s="157"/>
      <c r="MM48" s="157"/>
      <c r="MN48" s="157"/>
      <c r="MO48" s="157"/>
      <c r="MP48" s="157"/>
      <c r="MQ48" s="157"/>
      <c r="MR48" s="157"/>
      <c r="MS48" s="157"/>
      <c r="MT48" s="157"/>
      <c r="MU48" s="163" t="s">
        <v>85</v>
      </c>
      <c r="MV48" s="156">
        <v>1546279</v>
      </c>
      <c r="MW48" s="156">
        <v>507686</v>
      </c>
      <c r="MX48" s="156">
        <v>271310</v>
      </c>
      <c r="MY48" s="180">
        <v>14002290</v>
      </c>
      <c r="MZ48" s="157"/>
      <c r="NA48" s="156">
        <v>1440387</v>
      </c>
      <c r="NB48" s="156">
        <v>596593</v>
      </c>
      <c r="NC48" s="156">
        <v>368174</v>
      </c>
      <c r="ND48" s="180">
        <v>14002290</v>
      </c>
      <c r="NE48" s="157"/>
      <c r="NF48" s="156">
        <v>1469113</v>
      </c>
      <c r="NG48" s="156">
        <v>577973</v>
      </c>
      <c r="NH48" s="156">
        <v>354207</v>
      </c>
      <c r="NI48" s="180">
        <v>14002290</v>
      </c>
      <c r="NJ48" s="157"/>
      <c r="NK48" s="157"/>
      <c r="NL48" s="157"/>
      <c r="NM48" s="157"/>
      <c r="NN48" s="157"/>
      <c r="NO48" s="157"/>
      <c r="NP48" s="157"/>
      <c r="NQ48" s="157"/>
      <c r="NR48" s="157"/>
      <c r="NS48" s="157"/>
      <c r="NT48" s="157"/>
      <c r="NU48" s="157"/>
      <c r="NV48" s="157"/>
      <c r="NW48" s="157"/>
      <c r="NX48" s="157"/>
      <c r="NY48" s="157"/>
      <c r="NZ48" s="157"/>
      <c r="OA48" s="157"/>
      <c r="OB48" s="157"/>
      <c r="OC48" s="157"/>
      <c r="OD48" s="157"/>
      <c r="OE48" s="157"/>
      <c r="OF48" s="157"/>
      <c r="OG48" s="157"/>
      <c r="OH48" s="157"/>
      <c r="OI48" s="157"/>
      <c r="OJ48" s="157"/>
      <c r="OK48" s="157"/>
      <c r="OL48" s="157"/>
      <c r="OM48" s="157"/>
      <c r="ON48" s="157"/>
      <c r="OO48" s="157"/>
      <c r="OP48" s="157"/>
      <c r="OQ48" s="157"/>
      <c r="OR48" s="157"/>
      <c r="OS48" s="157"/>
      <c r="OT48" s="157"/>
      <c r="OU48" s="157"/>
      <c r="OV48" s="157"/>
      <c r="OW48" s="157"/>
      <c r="OX48" s="157"/>
      <c r="OY48" s="157"/>
      <c r="OZ48" s="157"/>
      <c r="PA48" s="157"/>
    </row>
    <row r="49" spans="254:417">
      <c r="IT49" s="157"/>
      <c r="IU49" s="157"/>
      <c r="IV49" s="157"/>
      <c r="IW49" s="157"/>
      <c r="IY49" s="157"/>
      <c r="IZ49" s="157"/>
      <c r="JA49" s="157"/>
      <c r="JB49" s="157"/>
      <c r="JC49" s="157"/>
      <c r="JD49" s="157"/>
      <c r="JE49" s="157"/>
      <c r="JF49" s="157"/>
      <c r="JG49" s="157"/>
      <c r="JH49" s="157"/>
      <c r="JI49" s="157"/>
      <c r="JJ49" s="157"/>
      <c r="JK49" s="157"/>
      <c r="JL49" s="157"/>
      <c r="JM49" s="157"/>
      <c r="JN49" s="157"/>
      <c r="JO49" s="157"/>
      <c r="JP49" s="157"/>
      <c r="JQ49" s="157"/>
      <c r="JR49" s="157"/>
      <c r="JS49" s="157"/>
      <c r="JT49" s="157"/>
      <c r="JU49" s="157"/>
      <c r="JV49" s="157"/>
      <c r="JW49" s="157"/>
      <c r="JX49" s="157"/>
      <c r="JY49" s="157"/>
      <c r="JZ49" s="157"/>
      <c r="KA49" s="157"/>
      <c r="KB49" s="157"/>
      <c r="KC49" s="157"/>
      <c r="KD49" s="157"/>
      <c r="KE49" s="157"/>
      <c r="KF49" s="157"/>
      <c r="KG49" s="157"/>
      <c r="KH49" s="157"/>
      <c r="KI49" s="157"/>
      <c r="KJ49" s="157"/>
      <c r="KK49" s="157"/>
      <c r="KL49" s="157"/>
      <c r="KM49" s="157"/>
      <c r="KN49" s="157"/>
      <c r="KO49" s="157"/>
      <c r="KP49" s="157"/>
      <c r="KQ49" s="157"/>
      <c r="KR49" s="157"/>
      <c r="KS49" s="157"/>
      <c r="KT49" s="157"/>
      <c r="KU49" s="157"/>
      <c r="KV49" s="157"/>
      <c r="KW49" s="157"/>
      <c r="KX49" s="157"/>
      <c r="KY49" s="157"/>
      <c r="KZ49" s="157"/>
      <c r="LA49" s="157"/>
      <c r="LB49" s="157"/>
      <c r="LC49" s="157"/>
      <c r="LD49" s="157"/>
      <c r="LE49" s="157"/>
      <c r="LF49" s="157"/>
      <c r="LG49" s="157"/>
      <c r="LH49" s="157"/>
      <c r="LI49" s="157"/>
      <c r="LJ49" s="157"/>
      <c r="LK49" s="157"/>
      <c r="LL49" s="157"/>
      <c r="LM49" s="157"/>
      <c r="LN49" s="157"/>
      <c r="LO49" s="157"/>
      <c r="LP49" s="157"/>
      <c r="LQ49" s="157"/>
      <c r="LR49" s="157"/>
      <c r="LS49" s="157"/>
      <c r="LT49" s="157"/>
      <c r="LU49" s="157"/>
      <c r="LV49" s="157"/>
      <c r="LW49" s="157"/>
      <c r="LX49" s="157"/>
      <c r="LY49" s="157"/>
      <c r="LZ49" s="157"/>
      <c r="MA49" s="157"/>
      <c r="MB49" s="157"/>
      <c r="MC49" s="157"/>
      <c r="MD49" s="157"/>
      <c r="ME49" s="157"/>
      <c r="MF49" s="157"/>
      <c r="MG49" s="157"/>
      <c r="MH49" s="157"/>
      <c r="MI49" s="157"/>
      <c r="MJ49" s="157"/>
      <c r="MK49" s="157"/>
      <c r="ML49" s="157"/>
      <c r="MM49" s="157"/>
      <c r="MN49" s="157"/>
      <c r="MO49" s="157"/>
      <c r="MP49" s="157"/>
      <c r="MQ49" s="157"/>
      <c r="MR49" s="157"/>
      <c r="MS49" s="157"/>
      <c r="MT49" s="157"/>
      <c r="MU49" s="163" t="s">
        <v>86</v>
      </c>
      <c r="MV49" s="156">
        <v>4716134</v>
      </c>
      <c r="MW49" s="156">
        <v>152054</v>
      </c>
      <c r="MX49" s="156">
        <v>143572</v>
      </c>
      <c r="MY49" s="180">
        <v>3111539</v>
      </c>
      <c r="MZ49" s="157"/>
      <c r="NA49" s="156">
        <v>4307905</v>
      </c>
      <c r="NB49" s="156">
        <v>151423</v>
      </c>
      <c r="NC49" s="156">
        <v>142487</v>
      </c>
      <c r="ND49" s="180">
        <v>3111539</v>
      </c>
      <c r="NE49" s="157"/>
      <c r="NF49" s="156">
        <v>4202695</v>
      </c>
      <c r="NG49" s="156">
        <v>247856</v>
      </c>
      <c r="NH49" s="156">
        <v>239409</v>
      </c>
      <c r="NI49" s="180">
        <v>3111539</v>
      </c>
      <c r="NJ49" s="157"/>
      <c r="NK49" s="157"/>
      <c r="NL49" s="157"/>
      <c r="NM49" s="157"/>
      <c r="NN49" s="157"/>
      <c r="NO49" s="157"/>
      <c r="NP49" s="157"/>
      <c r="NQ49" s="157"/>
      <c r="NR49" s="157"/>
      <c r="NS49" s="157"/>
      <c r="NT49" s="157"/>
      <c r="NU49" s="157"/>
      <c r="NV49" s="157"/>
      <c r="NW49" s="157"/>
      <c r="NX49" s="157"/>
      <c r="NY49" s="157"/>
      <c r="NZ49" s="157"/>
      <c r="OA49" s="157"/>
      <c r="OB49" s="157"/>
      <c r="OC49" s="157"/>
      <c r="OD49" s="157"/>
      <c r="OE49" s="157"/>
      <c r="OF49" s="157"/>
      <c r="OG49" s="157"/>
      <c r="OH49" s="157"/>
      <c r="OI49" s="157"/>
      <c r="OJ49" s="157"/>
      <c r="OK49" s="157"/>
      <c r="OL49" s="157"/>
      <c r="OM49" s="157"/>
      <c r="ON49" s="157"/>
      <c r="OO49" s="157"/>
      <c r="OP49" s="157"/>
      <c r="OQ49" s="157"/>
      <c r="OR49" s="157"/>
      <c r="OS49" s="157"/>
      <c r="OT49" s="157"/>
      <c r="OU49" s="157"/>
      <c r="OV49" s="157"/>
      <c r="OW49" s="157"/>
      <c r="OX49" s="157"/>
      <c r="OY49" s="157"/>
      <c r="OZ49" s="157"/>
      <c r="PA49" s="157"/>
    </row>
    <row r="50" spans="254:417">
      <c r="IT50" s="157"/>
      <c r="IU50" s="157"/>
      <c r="IV50" s="157"/>
      <c r="IW50" s="157"/>
      <c r="IY50" s="157"/>
      <c r="IZ50" s="157"/>
      <c r="JA50" s="157"/>
      <c r="JB50" s="157"/>
      <c r="JC50" s="157"/>
      <c r="JD50" s="157"/>
      <c r="JE50" s="157"/>
      <c r="JF50" s="157"/>
      <c r="JG50" s="157"/>
      <c r="JH50" s="157"/>
      <c r="JI50" s="157"/>
      <c r="JJ50" s="157"/>
      <c r="JK50" s="157"/>
      <c r="JL50" s="157"/>
      <c r="JM50" s="157"/>
      <c r="JN50" s="157"/>
      <c r="JO50" s="157"/>
      <c r="JP50" s="157"/>
      <c r="JQ50" s="157"/>
      <c r="JR50" s="157"/>
      <c r="JS50" s="157"/>
      <c r="JT50" s="157"/>
      <c r="JU50" s="157"/>
      <c r="JV50" s="157"/>
      <c r="JW50" s="157"/>
      <c r="JX50" s="157"/>
      <c r="JY50" s="157"/>
      <c r="JZ50" s="157"/>
      <c r="KA50" s="157"/>
      <c r="KB50" s="157"/>
      <c r="KC50" s="157"/>
      <c r="KD50" s="157"/>
      <c r="KE50" s="157"/>
      <c r="KF50" s="157"/>
      <c r="KG50" s="157"/>
      <c r="KH50" s="157"/>
      <c r="KI50" s="157"/>
      <c r="KJ50" s="157"/>
      <c r="KK50" s="157"/>
      <c r="KL50" s="157"/>
      <c r="KM50" s="157"/>
      <c r="KN50" s="157"/>
      <c r="KO50" s="157"/>
      <c r="KP50" s="157"/>
      <c r="KQ50" s="157"/>
      <c r="KR50" s="157"/>
      <c r="KS50" s="157"/>
      <c r="KT50" s="157"/>
      <c r="KU50" s="157"/>
      <c r="KV50" s="157"/>
      <c r="KW50" s="157"/>
      <c r="KX50" s="157"/>
      <c r="KY50" s="157"/>
      <c r="KZ50" s="157"/>
      <c r="LA50" s="157"/>
      <c r="LB50" s="157"/>
      <c r="LC50" s="157"/>
      <c r="LD50" s="157"/>
      <c r="LE50" s="157"/>
      <c r="LF50" s="157"/>
      <c r="LG50" s="157"/>
      <c r="LH50" s="157"/>
      <c r="LI50" s="157"/>
      <c r="LJ50" s="157"/>
      <c r="LK50" s="157"/>
      <c r="LL50" s="157"/>
      <c r="LM50" s="157"/>
      <c r="LN50" s="157"/>
      <c r="LO50" s="157"/>
      <c r="LP50" s="157"/>
      <c r="LQ50" s="157"/>
      <c r="LR50" s="157"/>
      <c r="LS50" s="157"/>
      <c r="LT50" s="157"/>
      <c r="LU50" s="157"/>
      <c r="LV50" s="157"/>
      <c r="LW50" s="157"/>
      <c r="LX50" s="157"/>
      <c r="LY50" s="157"/>
      <c r="LZ50" s="157"/>
      <c r="MA50" s="157"/>
      <c r="MB50" s="157"/>
      <c r="MC50" s="157"/>
      <c r="MD50" s="157"/>
      <c r="ME50" s="157"/>
      <c r="MF50" s="157"/>
      <c r="MG50" s="157"/>
      <c r="MH50" s="157"/>
      <c r="MI50" s="157"/>
      <c r="MJ50" s="157"/>
      <c r="MK50" s="157"/>
      <c r="ML50" s="157"/>
      <c r="MM50" s="157"/>
      <c r="MN50" s="157"/>
      <c r="MO50" s="157"/>
      <c r="MP50" s="157"/>
      <c r="MQ50" s="157"/>
      <c r="MR50" s="157"/>
      <c r="MS50" s="157"/>
      <c r="MT50" s="157"/>
      <c r="MU50" s="163" t="s">
        <v>87</v>
      </c>
      <c r="MV50" s="156">
        <v>117604</v>
      </c>
      <c r="MW50" s="156">
        <v>-26269</v>
      </c>
      <c r="MX50" s="156">
        <v>-32841</v>
      </c>
      <c r="MY50" s="156">
        <v>183519</v>
      </c>
      <c r="MZ50" s="157"/>
      <c r="NA50" s="156">
        <v>139772</v>
      </c>
      <c r="NB50" s="156">
        <v>37893</v>
      </c>
      <c r="NC50" s="156">
        <v>32774</v>
      </c>
      <c r="ND50" s="156">
        <v>183519</v>
      </c>
      <c r="NE50" s="157"/>
      <c r="NF50" s="156">
        <v>131113</v>
      </c>
      <c r="NG50" s="156">
        <v>21556</v>
      </c>
      <c r="NH50" s="156">
        <v>17918</v>
      </c>
      <c r="NI50" s="156">
        <v>183519</v>
      </c>
      <c r="NJ50" s="157"/>
      <c r="NK50" s="157"/>
      <c r="NL50" s="157"/>
      <c r="NM50" s="157"/>
      <c r="NN50" s="157"/>
      <c r="NO50" s="157"/>
      <c r="NP50" s="157"/>
      <c r="NQ50" s="157"/>
      <c r="NR50" s="157"/>
      <c r="NS50" s="157"/>
      <c r="NT50" s="157"/>
      <c r="NU50" s="157"/>
      <c r="NV50" s="157"/>
      <c r="NW50" s="157"/>
      <c r="NX50" s="157"/>
      <c r="NY50" s="157"/>
      <c r="NZ50" s="157"/>
      <c r="OA50" s="157"/>
      <c r="OB50" s="157"/>
      <c r="OC50" s="157"/>
      <c r="OD50" s="157"/>
      <c r="OE50" s="157"/>
      <c r="OF50" s="157"/>
      <c r="OG50" s="157"/>
      <c r="OH50" s="157"/>
      <c r="OI50" s="157"/>
      <c r="OJ50" s="157"/>
      <c r="OK50" s="157"/>
      <c r="OL50" s="157"/>
      <c r="OM50" s="157"/>
      <c r="ON50" s="157"/>
      <c r="OO50" s="157"/>
      <c r="OP50" s="157"/>
      <c r="OQ50" s="157"/>
      <c r="OR50" s="157"/>
      <c r="OS50" s="157"/>
      <c r="OT50" s="157"/>
      <c r="OU50" s="157"/>
      <c r="OV50" s="157"/>
      <c r="OW50" s="157"/>
      <c r="OX50" s="157"/>
      <c r="OY50" s="157"/>
      <c r="OZ50" s="157"/>
      <c r="PA50" s="157"/>
    </row>
    <row r="51" spans="254:417">
      <c r="IT51" s="157"/>
      <c r="IU51" s="157"/>
      <c r="IV51" s="157"/>
      <c r="IW51" s="157"/>
      <c r="IY51" s="157"/>
      <c r="IZ51" s="157"/>
      <c r="JA51" s="157"/>
      <c r="JB51" s="157"/>
      <c r="JC51" s="157"/>
      <c r="JD51" s="157"/>
      <c r="JE51" s="157"/>
      <c r="JF51" s="157"/>
      <c r="JG51" s="157"/>
      <c r="JH51" s="157"/>
      <c r="JI51" s="157"/>
      <c r="JJ51" s="157"/>
      <c r="JK51" s="157"/>
      <c r="JL51" s="157"/>
      <c r="JM51" s="157"/>
      <c r="JN51" s="157"/>
      <c r="JO51" s="157"/>
      <c r="JP51" s="157"/>
      <c r="JQ51" s="157"/>
      <c r="JR51" s="157"/>
      <c r="JS51" s="157"/>
      <c r="JT51" s="157"/>
      <c r="JU51" s="157"/>
      <c r="JV51" s="157"/>
      <c r="JW51" s="157"/>
      <c r="JX51" s="157"/>
      <c r="JY51" s="157"/>
      <c r="JZ51" s="157"/>
      <c r="KA51" s="157"/>
      <c r="KB51" s="157"/>
      <c r="KC51" s="157"/>
      <c r="KD51" s="157"/>
      <c r="KE51" s="157"/>
      <c r="KF51" s="157"/>
      <c r="KG51" s="157"/>
      <c r="KH51" s="157"/>
      <c r="KI51" s="157"/>
      <c r="KJ51" s="157"/>
      <c r="KK51" s="157"/>
      <c r="KL51" s="157"/>
      <c r="KM51" s="157"/>
      <c r="KN51" s="157"/>
      <c r="KO51" s="157"/>
      <c r="KP51" s="157"/>
      <c r="KQ51" s="157"/>
      <c r="KR51" s="157"/>
      <c r="KS51" s="157"/>
      <c r="KT51" s="157"/>
      <c r="KU51" s="157"/>
      <c r="KV51" s="157"/>
      <c r="KW51" s="157"/>
      <c r="KX51" s="157"/>
      <c r="KY51" s="157"/>
      <c r="KZ51" s="157"/>
      <c r="LA51" s="157"/>
      <c r="LB51" s="157"/>
      <c r="LC51" s="157"/>
      <c r="LD51" s="157"/>
      <c r="LE51" s="157"/>
      <c r="LF51" s="157"/>
      <c r="LG51" s="157"/>
      <c r="LH51" s="157"/>
      <c r="LI51" s="157"/>
      <c r="LJ51" s="157"/>
      <c r="LK51" s="157"/>
      <c r="LL51" s="157"/>
      <c r="LM51" s="157"/>
      <c r="LN51" s="157"/>
      <c r="LO51" s="157"/>
      <c r="LP51" s="157"/>
      <c r="LQ51" s="157"/>
      <c r="LR51" s="157"/>
      <c r="LS51" s="157"/>
      <c r="LT51" s="157"/>
      <c r="LU51" s="157"/>
      <c r="LV51" s="157"/>
      <c r="LW51" s="157"/>
      <c r="LX51" s="157"/>
      <c r="LY51" s="157"/>
      <c r="LZ51" s="157"/>
      <c r="MA51" s="157"/>
      <c r="MB51" s="157"/>
      <c r="MC51" s="157"/>
      <c r="MD51" s="157"/>
      <c r="ME51" s="157"/>
      <c r="MF51" s="157"/>
      <c r="MG51" s="157"/>
      <c r="MH51" s="157"/>
      <c r="MI51" s="157"/>
      <c r="MJ51" s="157"/>
      <c r="MK51" s="157"/>
      <c r="ML51" s="157"/>
      <c r="MM51" s="157"/>
      <c r="MN51" s="157"/>
      <c r="MO51" s="157"/>
      <c r="MP51" s="157"/>
      <c r="MQ51" s="157"/>
      <c r="MR51" s="157"/>
      <c r="MS51" s="157"/>
      <c r="MT51" s="157"/>
      <c r="MU51" s="173" t="s">
        <v>80</v>
      </c>
      <c r="MV51" s="170">
        <v>77093</v>
      </c>
      <c r="MW51" s="170">
        <v>3386</v>
      </c>
      <c r="MX51" s="170">
        <v>3330</v>
      </c>
      <c r="MY51" s="170">
        <v>170774</v>
      </c>
      <c r="MZ51" s="157"/>
      <c r="NA51" s="170">
        <v>67137</v>
      </c>
      <c r="NB51" s="170">
        <v>7908</v>
      </c>
      <c r="NC51" s="170">
        <v>5723</v>
      </c>
      <c r="ND51" s="170">
        <v>170774</v>
      </c>
      <c r="NE51" s="157"/>
      <c r="NF51" s="170">
        <v>62475</v>
      </c>
      <c r="NG51" s="170">
        <v>3861</v>
      </c>
      <c r="NH51" s="170">
        <v>1662</v>
      </c>
      <c r="NI51" s="170">
        <v>170774</v>
      </c>
      <c r="NJ51" s="157"/>
      <c r="NK51" s="157"/>
      <c r="NL51" s="157"/>
      <c r="NM51" s="157"/>
      <c r="NN51" s="157"/>
      <c r="NO51" s="157"/>
      <c r="NP51" s="157"/>
      <c r="NQ51" s="157"/>
      <c r="NR51" s="157"/>
      <c r="NS51" s="157"/>
      <c r="NT51" s="157"/>
      <c r="NU51" s="157"/>
      <c r="NV51" s="157"/>
      <c r="NW51" s="157"/>
      <c r="NX51" s="157"/>
      <c r="NY51" s="157"/>
      <c r="NZ51" s="157"/>
      <c r="OA51" s="157"/>
      <c r="OB51" s="157"/>
      <c r="OC51" s="157"/>
      <c r="OD51" s="157"/>
      <c r="OE51" s="157"/>
      <c r="OF51" s="157"/>
      <c r="OG51" s="157"/>
      <c r="OH51" s="157"/>
      <c r="OI51" s="157"/>
      <c r="OJ51" s="157"/>
      <c r="OK51" s="157"/>
      <c r="OL51" s="157"/>
      <c r="OM51" s="157"/>
      <c r="ON51" s="157"/>
      <c r="OO51" s="157"/>
      <c r="OP51" s="157"/>
      <c r="OQ51" s="157"/>
      <c r="OR51" s="157"/>
      <c r="OS51" s="157"/>
      <c r="OT51" s="157"/>
      <c r="OU51" s="157"/>
      <c r="OV51" s="157"/>
      <c r="OW51" s="157"/>
      <c r="OX51" s="157"/>
      <c r="OY51" s="157"/>
      <c r="OZ51" s="157"/>
      <c r="PA51" s="157"/>
    </row>
  </sheetData>
  <customSheetViews>
    <customSheetView guid="{77EFF5B1-32BE-4080-9902-B97F43099026}">
      <selection activeCell="F17" sqref="F17"/>
      <pageMargins left="0.7" right="0.7" top="0.75" bottom="0.75" header="0.3" footer="0.3"/>
    </customSheetView>
    <customSheetView guid="{AAA495E0-27FD-4941-85B8-9038B6AD4FA3}">
      <selection activeCell="A2" sqref="A2"/>
      <pageMargins left="0.7" right="0.7" top="0.75" bottom="0.75" header="0.3" footer="0.3"/>
    </customSheetView>
    <customSheetView guid="{874BA5F8-BD95-4DDF-8F31-98DB154CA965}">
      <selection activeCell="A2" sqref="A2"/>
      <pageMargins left="0.7" right="0.7" top="0.75" bottom="0.75" header="0.3" footer="0.3"/>
    </customSheetView>
    <customSheetView guid="{627AEB6E-B9F1-415E-9A60-881757A50C67}">
      <selection activeCell="C19" sqref="C19"/>
      <pageMargins left="0.7" right="0.7" top="0.75" bottom="0.75" header="0.3" footer="0.3"/>
    </customSheetView>
    <customSheetView guid="{786DE933-524F-40D1-8033-C008687087FC}">
      <selection activeCell="F17" sqref="F17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9963-AAB2-4E24-8BA8-F10A27DFBAFC}">
  <sheetPr>
    <tabColor rgb="FFFF0000"/>
    <pageSetUpPr fitToPage="1"/>
  </sheetPr>
  <dimension ref="A1:PA51"/>
  <sheetViews>
    <sheetView tabSelected="1" zoomScale="85" zoomScaleNormal="85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R2" sqref="R2"/>
    </sheetView>
  </sheetViews>
  <sheetFormatPr defaultColWidth="9.28515625" defaultRowHeight="15"/>
  <cols>
    <col min="1" max="1" width="40.7109375" style="5" customWidth="1"/>
    <col min="2" max="2" width="3.7109375" style="10" customWidth="1"/>
    <col min="3" max="3" width="21.28515625" style="10" customWidth="1"/>
    <col min="4" max="5" width="14.7109375" style="10" customWidth="1"/>
    <col min="6" max="6" width="21.7109375" style="10" customWidth="1"/>
    <col min="7" max="7" width="3.7109375" style="10" customWidth="1"/>
    <col min="8" max="8" width="21.28515625" style="10" customWidth="1"/>
    <col min="9" max="10" width="14.7109375" style="10" customWidth="1"/>
    <col min="11" max="11" width="21.7109375" style="10" customWidth="1"/>
    <col min="12" max="12" width="3.7109375" style="10" customWidth="1"/>
    <col min="13" max="13" width="21.28515625" style="10" customWidth="1"/>
    <col min="14" max="15" width="14.7109375" style="10" customWidth="1"/>
    <col min="16" max="16" width="21.7109375" style="10" customWidth="1"/>
    <col min="17" max="17" width="3.7109375" style="10" customWidth="1"/>
    <col min="18" max="18" width="21.28515625" style="10" customWidth="1"/>
    <col min="19" max="20" width="14.7109375" style="10" customWidth="1"/>
    <col min="21" max="21" width="21.7109375" style="10" customWidth="1"/>
    <col min="22" max="22" width="3.7109375" style="10" customWidth="1"/>
    <col min="23" max="23" width="21.28515625" style="10" customWidth="1"/>
    <col min="24" max="25" width="14.7109375" style="10" customWidth="1"/>
    <col min="26" max="26" width="21.7109375" style="10" customWidth="1"/>
    <col min="27" max="27" width="3.7109375" style="10" customWidth="1"/>
    <col min="28" max="28" width="21.28515625" style="10" customWidth="1"/>
    <col min="29" max="30" width="14.7109375" style="10" customWidth="1"/>
    <col min="31" max="31" width="21.7109375" style="10" customWidth="1"/>
    <col min="32" max="32" width="3.7109375" style="10" customWidth="1"/>
    <col min="33" max="33" width="21.28515625" style="10" customWidth="1"/>
    <col min="34" max="35" width="14.7109375" style="10" customWidth="1"/>
    <col min="36" max="36" width="21.7109375" style="10" customWidth="1"/>
    <col min="37" max="37" width="3.7109375" style="10" customWidth="1"/>
    <col min="38" max="38" width="21.28515625" style="10" customWidth="1"/>
    <col min="39" max="39" width="13.5703125" style="10" customWidth="1"/>
    <col min="40" max="40" width="13.7109375" style="10" customWidth="1"/>
    <col min="41" max="41" width="21.7109375" style="10" customWidth="1"/>
    <col min="42" max="42" width="3.7109375" style="10" customWidth="1"/>
    <col min="43" max="43" width="21.28515625" style="10" customWidth="1"/>
    <col min="44" max="45" width="14.7109375" style="10" customWidth="1"/>
    <col min="46" max="46" width="21.7109375" style="10" customWidth="1"/>
    <col min="47" max="47" width="3.7109375" style="10" customWidth="1"/>
    <col min="48" max="48" width="21.28515625" style="10" customWidth="1"/>
    <col min="49" max="50" width="14.7109375" style="10" customWidth="1"/>
    <col min="51" max="51" width="21.7109375" style="10" customWidth="1"/>
    <col min="52" max="52" width="3.7109375" style="10" customWidth="1"/>
    <col min="53" max="53" width="21.28515625" style="10" customWidth="1"/>
    <col min="54" max="55" width="14.7109375" style="10" customWidth="1"/>
    <col min="56" max="56" width="21.7109375" style="10" customWidth="1"/>
    <col min="57" max="57" width="3.7109375" style="10" customWidth="1"/>
    <col min="58" max="58" width="21.28515625" style="10" customWidth="1"/>
    <col min="59" max="60" width="14.7109375" style="10" customWidth="1"/>
    <col min="61" max="61" width="21.7109375" style="10" customWidth="1"/>
    <col min="62" max="62" width="3.7109375" style="10" customWidth="1"/>
    <col min="63" max="63" width="21.28515625" style="10" customWidth="1"/>
    <col min="64" max="65" width="14.7109375" style="10" customWidth="1"/>
    <col min="66" max="66" width="21.7109375" style="10" customWidth="1"/>
    <col min="67" max="67" width="3.7109375" style="10" customWidth="1"/>
    <col min="68" max="68" width="21.28515625" style="10" customWidth="1"/>
    <col min="69" max="70" width="14.7109375" style="10" customWidth="1"/>
    <col min="71" max="71" width="21.7109375" style="10" customWidth="1"/>
    <col min="72" max="72" width="3.7109375" style="10" customWidth="1"/>
    <col min="73" max="73" width="21.28515625" style="10" customWidth="1"/>
    <col min="74" max="75" width="14.7109375" style="10" customWidth="1"/>
    <col min="76" max="76" width="21.7109375" style="10" customWidth="1"/>
    <col min="77" max="77" width="3.7109375" style="10" customWidth="1"/>
    <col min="78" max="78" width="21.28515625" style="10" customWidth="1"/>
    <col min="79" max="80" width="14.7109375" style="10" customWidth="1"/>
    <col min="81" max="81" width="21.7109375" style="10" customWidth="1"/>
    <col min="82" max="82" width="3.7109375" style="10" customWidth="1"/>
    <col min="83" max="83" width="21.28515625" style="10" customWidth="1"/>
    <col min="84" max="85" width="14.7109375" style="10" customWidth="1"/>
    <col min="86" max="86" width="21.7109375" style="10" customWidth="1"/>
    <col min="87" max="87" width="3.7109375" style="10" customWidth="1"/>
    <col min="88" max="88" width="21.28515625" style="10" customWidth="1"/>
    <col min="89" max="90" width="14.7109375" style="10" customWidth="1"/>
    <col min="91" max="91" width="21.7109375" style="10" customWidth="1"/>
    <col min="92" max="92" width="3.7109375" style="10" customWidth="1"/>
    <col min="93" max="93" width="21.28515625" style="10" customWidth="1"/>
    <col min="94" max="95" width="14.7109375" style="10" customWidth="1"/>
    <col min="96" max="96" width="21.7109375" style="10" customWidth="1"/>
    <col min="97" max="97" width="3.7109375" style="10" customWidth="1"/>
    <col min="98" max="98" width="21.28515625" style="10" customWidth="1"/>
    <col min="99" max="100" width="14.7109375" style="10" customWidth="1"/>
    <col min="101" max="101" width="21.7109375" style="10" customWidth="1"/>
    <col min="102" max="102" width="3.7109375" style="10" customWidth="1"/>
    <col min="103" max="103" width="21.28515625" style="10" customWidth="1"/>
    <col min="104" max="105" width="14.7109375" style="10" customWidth="1"/>
    <col min="106" max="106" width="21.7109375" style="10" customWidth="1"/>
    <col min="107" max="107" width="3.7109375" style="10" customWidth="1"/>
    <col min="108" max="108" width="21.28515625" style="10" customWidth="1"/>
    <col min="109" max="110" width="14.7109375" style="10" customWidth="1"/>
    <col min="111" max="111" width="21.7109375" style="10" customWidth="1"/>
    <col min="112" max="112" width="3.7109375" style="10" customWidth="1"/>
    <col min="113" max="113" width="21.28515625" style="10" customWidth="1"/>
    <col min="114" max="115" width="14.7109375" style="10" customWidth="1"/>
    <col min="116" max="116" width="21.7109375" style="10" customWidth="1"/>
    <col min="117" max="117" width="3.7109375" style="10" customWidth="1"/>
    <col min="118" max="118" width="21.28515625" style="10" customWidth="1"/>
    <col min="119" max="120" width="14.7109375" style="10" customWidth="1"/>
    <col min="121" max="121" width="21.7109375" style="10" customWidth="1"/>
    <col min="122" max="122" width="3.7109375" style="10" customWidth="1"/>
    <col min="123" max="123" width="21.28515625" style="10" customWidth="1"/>
    <col min="124" max="125" width="14.7109375" style="10" customWidth="1"/>
    <col min="126" max="126" width="21.7109375" style="10" customWidth="1"/>
    <col min="127" max="127" width="3.7109375" style="10" customWidth="1"/>
    <col min="128" max="128" width="21.28515625" style="10" customWidth="1"/>
    <col min="129" max="130" width="14.7109375" style="10" customWidth="1"/>
    <col min="131" max="131" width="21.7109375" style="10" customWidth="1"/>
    <col min="132" max="132" width="3.7109375" style="10" customWidth="1"/>
    <col min="133" max="133" width="21.28515625" style="10" customWidth="1"/>
    <col min="134" max="135" width="14.7109375" style="10" customWidth="1"/>
    <col min="136" max="136" width="21.7109375" style="10" customWidth="1"/>
    <col min="137" max="137" width="3.7109375" style="10" customWidth="1"/>
    <col min="138" max="138" width="21.28515625" style="10" customWidth="1"/>
    <col min="139" max="140" width="14.7109375" style="10" customWidth="1"/>
    <col min="141" max="141" width="21.7109375" style="10" customWidth="1"/>
    <col min="142" max="142" width="3.7109375" style="10" customWidth="1"/>
    <col min="143" max="143" width="21.28515625" style="10" customWidth="1"/>
    <col min="144" max="145" width="14.7109375" style="10" customWidth="1"/>
    <col min="146" max="146" width="21.7109375" style="10" customWidth="1"/>
    <col min="147" max="147" width="3.7109375" style="10" customWidth="1"/>
    <col min="148" max="148" width="21.28515625" style="10" customWidth="1"/>
    <col min="149" max="150" width="14.7109375" style="10" customWidth="1"/>
    <col min="151" max="151" width="21.7109375" style="10" customWidth="1"/>
    <col min="152" max="152" width="3.7109375" style="10" customWidth="1"/>
    <col min="153" max="153" width="21.28515625" style="10" customWidth="1"/>
    <col min="154" max="155" width="14.7109375" style="10" customWidth="1"/>
    <col min="156" max="156" width="21.7109375" style="10" customWidth="1"/>
    <col min="157" max="157" width="3.7109375" style="10" customWidth="1"/>
    <col min="158" max="158" width="21.28515625" style="10" customWidth="1"/>
    <col min="159" max="160" width="14.7109375" style="10" customWidth="1"/>
    <col min="161" max="161" width="21.7109375" style="10" customWidth="1"/>
    <col min="162" max="162" width="3.7109375" style="10" customWidth="1"/>
    <col min="163" max="163" width="21.28515625" style="10" customWidth="1"/>
    <col min="164" max="165" width="14.7109375" style="10" customWidth="1"/>
    <col min="166" max="166" width="21.7109375" style="10" customWidth="1"/>
    <col min="167" max="167" width="3.7109375" style="10" customWidth="1"/>
    <col min="168" max="168" width="21.28515625" style="10" customWidth="1"/>
    <col min="169" max="170" width="14.7109375" style="10" customWidth="1"/>
    <col min="171" max="171" width="21.7109375" style="10" customWidth="1"/>
    <col min="172" max="172" width="3.7109375" style="10" customWidth="1"/>
    <col min="173" max="173" width="21.28515625" style="10" customWidth="1"/>
    <col min="174" max="175" width="14.7109375" style="10" customWidth="1"/>
    <col min="176" max="176" width="21.7109375" style="10" customWidth="1"/>
    <col min="177" max="177" width="3.7109375" style="10" customWidth="1"/>
    <col min="178" max="178" width="21.28515625" style="10" customWidth="1"/>
    <col min="179" max="180" width="14.7109375" style="10" customWidth="1"/>
    <col min="181" max="181" width="21.7109375" style="10" customWidth="1"/>
    <col min="182" max="182" width="5.7109375" style="10" customWidth="1"/>
    <col min="183" max="183" width="21.28515625" style="339" customWidth="1"/>
    <col min="184" max="185" width="14.7109375" style="339" customWidth="1"/>
    <col min="186" max="186" width="21.7109375" style="339" customWidth="1"/>
    <col min="187" max="187" width="3.7109375" style="339" customWidth="1"/>
    <col min="188" max="188" width="21.28515625" style="339" customWidth="1"/>
    <col min="189" max="190" width="14.7109375" style="339" customWidth="1"/>
    <col min="191" max="191" width="21.7109375" style="339" customWidth="1"/>
    <col min="192" max="192" width="8.28515625" style="339" customWidth="1"/>
    <col min="193" max="193" width="21.28515625" style="339" customWidth="1"/>
    <col min="194" max="195" width="14.7109375" style="339" customWidth="1"/>
    <col min="196" max="196" width="21.7109375" style="339" customWidth="1"/>
    <col min="197" max="197" width="3.7109375" style="339" customWidth="1"/>
    <col min="198" max="198" width="21.28515625" style="339" customWidth="1"/>
    <col min="199" max="200" width="14.7109375" style="339" customWidth="1"/>
    <col min="201" max="201" width="21.7109375" style="339" customWidth="1"/>
    <col min="202" max="203" width="3.7109375" style="339" customWidth="1"/>
    <col min="204" max="204" width="21.28515625" style="339" customWidth="1"/>
    <col min="205" max="206" width="14.7109375" style="339" customWidth="1"/>
    <col min="207" max="207" width="21.7109375" style="339" customWidth="1"/>
    <col min="208" max="208" width="3.7109375" style="339" customWidth="1"/>
    <col min="209" max="209" width="21.28515625" style="339" customWidth="1"/>
    <col min="210" max="211" width="14.7109375" style="339" customWidth="1"/>
    <col min="212" max="212" width="21.7109375" style="339" customWidth="1"/>
    <col min="213" max="213" width="3.7109375" style="339" customWidth="1"/>
    <col min="214" max="214" width="21.28515625" style="339" customWidth="1"/>
    <col min="215" max="216" width="14.7109375" style="339" customWidth="1"/>
    <col min="217" max="217" width="21.7109375" style="339" customWidth="1"/>
    <col min="218" max="218" width="5.7109375" style="339" customWidth="1"/>
    <col min="219" max="219" width="21.28515625" style="339" customWidth="1"/>
    <col min="220" max="221" width="14.7109375" style="339" customWidth="1"/>
    <col min="222" max="222" width="21.7109375" style="339" customWidth="1"/>
    <col min="223" max="223" width="3.7109375" style="339" customWidth="1"/>
    <col min="224" max="224" width="21.28515625" style="339" customWidth="1"/>
    <col min="225" max="226" width="14.7109375" style="339" customWidth="1"/>
    <col min="227" max="227" width="21.7109375" style="339" customWidth="1"/>
    <col min="228" max="228" width="5.7109375" style="339" customWidth="1"/>
    <col min="229" max="229" width="21.28515625" style="339" customWidth="1"/>
    <col min="230" max="231" width="14.7109375" style="339" customWidth="1"/>
    <col min="232" max="232" width="21.7109375" style="339" customWidth="1"/>
    <col min="233" max="233" width="3.7109375" style="339" customWidth="1"/>
    <col min="234" max="234" width="21.28515625" style="339" customWidth="1"/>
    <col min="235" max="236" width="14.7109375" style="339" customWidth="1"/>
    <col min="237" max="237" width="21.7109375" style="339" customWidth="1"/>
    <col min="238" max="238" width="5.7109375" style="339" customWidth="1"/>
    <col min="239" max="239" width="21.28515625" style="157" customWidth="1"/>
    <col min="240" max="241" width="14.7109375" style="157" customWidth="1"/>
    <col min="242" max="242" width="21.7109375" style="157" customWidth="1"/>
    <col min="243" max="243" width="3.7109375" style="157" customWidth="1"/>
    <col min="244" max="244" width="21.28515625" style="157" customWidth="1"/>
    <col min="245" max="246" width="14.7109375" style="157" customWidth="1"/>
    <col min="247" max="247" width="21.7109375" style="157" customWidth="1"/>
    <col min="248" max="248" width="5.7109375" style="10" customWidth="1"/>
    <col min="249" max="249" width="21.28515625" style="10" customWidth="1"/>
    <col min="250" max="251" width="14.7109375" style="10" customWidth="1"/>
    <col min="252" max="252" width="21.7109375" style="10" customWidth="1"/>
    <col min="253" max="253" width="9.5703125" style="10" customWidth="1"/>
    <col min="254" max="254" width="21.28515625" style="10" customWidth="1"/>
    <col min="255" max="256" width="14.7109375" style="10" customWidth="1"/>
    <col min="257" max="257" width="21.7109375" style="10" customWidth="1"/>
    <col min="258" max="258" width="3.7109375" style="10" customWidth="1"/>
    <col min="259" max="259" width="21.28515625" style="10" customWidth="1"/>
    <col min="260" max="261" width="14.7109375" style="10" customWidth="1"/>
    <col min="262" max="262" width="21.7109375" style="10" customWidth="1"/>
    <col min="263" max="263" width="15" style="10" customWidth="1"/>
    <col min="264" max="264" width="21.7109375" style="10" customWidth="1"/>
    <col min="265" max="266" width="17.7109375" style="10" customWidth="1"/>
    <col min="267" max="267" width="21.7109375" style="10" customWidth="1"/>
    <col min="268" max="268" width="6.28515625" style="10" customWidth="1"/>
    <col min="269" max="269" width="21.7109375" style="10" customWidth="1"/>
    <col min="270" max="271" width="17.7109375" style="10" customWidth="1"/>
    <col min="272" max="272" width="21.7109375" style="10" customWidth="1"/>
    <col min="273" max="273" width="4.5703125" style="10" customWidth="1"/>
    <col min="274" max="274" width="21.7109375" style="10" customWidth="1"/>
    <col min="275" max="276" width="17.7109375" style="10" customWidth="1"/>
    <col min="277" max="277" width="21.7109375" style="10" customWidth="1"/>
    <col min="278" max="278" width="5.7109375" style="10" customWidth="1"/>
    <col min="279" max="279" width="21.7109375" style="10" customWidth="1"/>
    <col min="280" max="281" width="17.7109375" style="10" customWidth="1"/>
    <col min="282" max="282" width="21.7109375" style="10" customWidth="1"/>
    <col min="283" max="283" width="3.7109375" style="10" customWidth="1"/>
    <col min="284" max="284" width="21.7109375" style="10" customWidth="1"/>
    <col min="285" max="286" width="17.7109375" style="10" customWidth="1"/>
    <col min="287" max="287" width="21.7109375" style="10" customWidth="1"/>
    <col min="288" max="288" width="3.7109375" style="10" customWidth="1"/>
    <col min="289" max="289" width="21.7109375" style="10" customWidth="1"/>
    <col min="290" max="291" width="17.7109375" style="10" customWidth="1"/>
    <col min="292" max="292" width="21.7109375" style="10" customWidth="1"/>
    <col min="293" max="293" width="3.7109375" style="10" customWidth="1"/>
    <col min="294" max="294" width="21.7109375" style="10" customWidth="1"/>
    <col min="295" max="296" width="17.7109375" style="10" customWidth="1"/>
    <col min="297" max="297" width="21.7109375" style="10" customWidth="1"/>
    <col min="298" max="298" width="9.28515625" style="10"/>
    <col min="299" max="299" width="21.7109375" style="10" customWidth="1"/>
    <col min="300" max="301" width="17.7109375" style="10" customWidth="1"/>
    <col min="302" max="302" width="22.7109375" style="10" customWidth="1"/>
    <col min="303" max="303" width="3.7109375" style="10" customWidth="1"/>
    <col min="304" max="304" width="22.7109375" style="10" customWidth="1"/>
    <col min="305" max="306" width="18.7109375" style="10" customWidth="1"/>
    <col min="307" max="307" width="22.7109375" style="10" customWidth="1"/>
    <col min="308" max="308" width="9.28515625" style="10"/>
    <col min="309" max="309" width="22.7109375" style="10" customWidth="1"/>
    <col min="310" max="311" width="18.7109375" style="10" customWidth="1"/>
    <col min="312" max="312" width="24.5703125" style="10" customWidth="1"/>
    <col min="313" max="313" width="3.7109375" style="10" customWidth="1"/>
    <col min="314" max="314" width="22.7109375" style="10" customWidth="1"/>
    <col min="315" max="316" width="18.7109375" style="10" customWidth="1"/>
    <col min="317" max="317" width="24.5703125" style="10" customWidth="1"/>
    <col min="318" max="318" width="9.28515625" style="10"/>
    <col min="319" max="319" width="22.28515625" style="10" customWidth="1"/>
    <col min="320" max="320" width="17.7109375" style="10" customWidth="1"/>
    <col min="321" max="321" width="17" style="10" customWidth="1"/>
    <col min="322" max="322" width="24" style="10" customWidth="1"/>
    <col min="323" max="323" width="9.28515625" style="10"/>
    <col min="324" max="324" width="22.5703125" style="10" customWidth="1"/>
    <col min="325" max="325" width="9.7109375" style="10" bestFit="1" customWidth="1"/>
    <col min="326" max="326" width="10.28515625" style="10" bestFit="1" customWidth="1"/>
    <col min="327" max="327" width="23.7109375" style="10" customWidth="1"/>
    <col min="328" max="328" width="3.42578125" style="10" customWidth="1"/>
    <col min="329" max="329" width="24.28515625" style="10" customWidth="1"/>
    <col min="330" max="330" width="19.7109375" style="10" customWidth="1"/>
    <col min="331" max="331" width="20.28515625" style="10" customWidth="1"/>
    <col min="332" max="332" width="24.28515625" style="10" customWidth="1"/>
    <col min="333" max="333" width="9.28515625" style="10"/>
    <col min="334" max="334" width="23" style="10" customWidth="1"/>
    <col min="335" max="335" width="15.7109375" style="10" customWidth="1"/>
    <col min="336" max="336" width="14.5703125" style="10" customWidth="1"/>
    <col min="337" max="337" width="23.7109375" style="10" customWidth="1"/>
    <col min="338" max="338" width="9.28515625" style="10"/>
    <col min="339" max="339" width="28.28515625" style="10" customWidth="1"/>
    <col min="340" max="341" width="19.7109375" style="10" customWidth="1"/>
    <col min="342" max="342" width="24.7109375" style="10" customWidth="1"/>
    <col min="343" max="343" width="9.28515625" style="10"/>
    <col min="344" max="344" width="23.28515625" style="10" customWidth="1"/>
    <col min="345" max="345" width="19.28515625" style="10" customWidth="1"/>
    <col min="346" max="346" width="19" style="10" customWidth="1"/>
    <col min="347" max="347" width="24.28515625" style="10" customWidth="1"/>
    <col min="348" max="348" width="4" style="10" customWidth="1"/>
    <col min="349" max="349" width="24" style="10" customWidth="1"/>
    <col min="350" max="351" width="19" style="10" customWidth="1"/>
    <col min="352" max="352" width="25.5703125" style="10" customWidth="1"/>
    <col min="353" max="353" width="9.28515625" style="10"/>
    <col min="354" max="354" width="25.28515625" style="10" customWidth="1"/>
    <col min="355" max="355" width="17.42578125" style="10" customWidth="1"/>
    <col min="356" max="356" width="19.28515625" style="10" customWidth="1"/>
    <col min="357" max="357" width="22.28515625" style="10" customWidth="1"/>
    <col min="358" max="358" width="9.28515625" style="10"/>
    <col min="359" max="359" width="49.28515625" style="10" customWidth="1"/>
    <col min="360" max="360" width="28.42578125" style="10" customWidth="1"/>
    <col min="361" max="361" width="14.7109375" style="10" customWidth="1"/>
    <col min="362" max="362" width="14.28515625" style="10" customWidth="1"/>
    <col min="363" max="363" width="21.42578125" style="10" customWidth="1"/>
    <col min="364" max="364" width="9.28515625" style="10"/>
    <col min="365" max="365" width="21.5703125" style="10" customWidth="1"/>
    <col min="366" max="366" width="15.28515625" style="10" customWidth="1"/>
    <col min="367" max="367" width="13.7109375" style="10" customWidth="1"/>
    <col min="368" max="368" width="23.42578125" style="10" customWidth="1"/>
    <col min="369" max="369" width="9.28515625" style="10"/>
    <col min="370" max="370" width="21.5703125" style="10" customWidth="1"/>
    <col min="371" max="371" width="13.28515625" style="10" customWidth="1"/>
    <col min="372" max="372" width="14.7109375" style="10" customWidth="1"/>
    <col min="373" max="373" width="21.42578125" style="10" customWidth="1"/>
    <col min="374" max="16384" width="9.28515625" style="10"/>
  </cols>
  <sheetData>
    <row r="1" spans="1:417" ht="20.25">
      <c r="A1" s="18" t="s">
        <v>76</v>
      </c>
      <c r="C1" s="58"/>
      <c r="D1" s="58"/>
      <c r="E1" s="58"/>
      <c r="F1" s="58"/>
      <c r="H1" s="58"/>
      <c r="I1" s="58"/>
      <c r="J1" s="58"/>
      <c r="K1" s="58"/>
      <c r="M1" s="58"/>
      <c r="N1" s="58"/>
      <c r="O1" s="58"/>
      <c r="P1" s="58"/>
      <c r="R1" s="58"/>
      <c r="S1" s="58"/>
      <c r="T1" s="58"/>
      <c r="U1" s="58"/>
      <c r="W1" s="58"/>
      <c r="X1" s="58"/>
      <c r="Y1" s="58"/>
      <c r="Z1" s="58"/>
      <c r="AB1" s="58"/>
      <c r="AC1" s="58"/>
      <c r="AD1" s="58"/>
      <c r="AE1" s="58"/>
      <c r="AG1" s="58"/>
      <c r="AH1" s="58"/>
      <c r="AI1" s="58"/>
      <c r="AJ1" s="58"/>
      <c r="AL1" s="58"/>
      <c r="AM1" s="58"/>
      <c r="AN1" s="58"/>
      <c r="AO1" s="58"/>
      <c r="AQ1" s="58"/>
      <c r="AR1" s="58"/>
      <c r="AS1" s="58"/>
      <c r="AT1" s="58"/>
      <c r="AV1" s="58"/>
      <c r="AW1" s="58"/>
      <c r="AX1" s="58"/>
      <c r="AY1" s="58"/>
      <c r="BA1" s="58"/>
      <c r="BB1" s="58"/>
      <c r="BC1" s="58"/>
      <c r="BD1" s="58"/>
      <c r="BF1" s="58"/>
      <c r="BG1" s="58"/>
      <c r="BH1" s="58"/>
      <c r="BI1" s="58"/>
      <c r="BK1" s="58"/>
      <c r="BL1" s="58"/>
      <c r="BM1" s="58"/>
      <c r="BN1" s="58"/>
      <c r="BP1" s="58"/>
      <c r="BQ1" s="58"/>
      <c r="BR1" s="58"/>
      <c r="BS1" s="58"/>
      <c r="BU1" s="58"/>
      <c r="BV1" s="58"/>
      <c r="BW1" s="58"/>
      <c r="BX1" s="58"/>
      <c r="BZ1" s="58"/>
      <c r="CA1" s="58"/>
      <c r="CB1" s="58"/>
      <c r="CC1" s="58"/>
      <c r="CE1" s="58"/>
      <c r="CF1" s="58"/>
      <c r="CG1" s="58"/>
      <c r="CH1" s="58"/>
      <c r="CJ1" s="58"/>
      <c r="CK1" s="58"/>
      <c r="CL1" s="58"/>
      <c r="CM1" s="58"/>
      <c r="CO1" s="58"/>
      <c r="CP1" s="58"/>
      <c r="CQ1" s="58"/>
      <c r="CR1" s="58"/>
      <c r="CT1" s="58"/>
      <c r="CU1" s="58"/>
      <c r="CV1" s="58"/>
      <c r="CW1" s="58"/>
      <c r="CY1" s="58"/>
      <c r="CZ1" s="58"/>
      <c r="DA1" s="58"/>
      <c r="DB1" s="58"/>
      <c r="DD1" s="58"/>
      <c r="DE1" s="58"/>
      <c r="DF1" s="58"/>
      <c r="DG1" s="58"/>
      <c r="DI1" s="58"/>
      <c r="DJ1" s="58"/>
      <c r="DK1" s="58"/>
      <c r="DL1" s="58"/>
      <c r="DN1" s="58"/>
      <c r="DO1" s="58"/>
      <c r="DP1" s="58"/>
      <c r="DQ1" s="58"/>
      <c r="DS1" s="58"/>
      <c r="DT1" s="58"/>
      <c r="DU1" s="58"/>
      <c r="DV1" s="58"/>
      <c r="DX1" s="58"/>
      <c r="DY1" s="58"/>
      <c r="DZ1" s="58"/>
      <c r="EA1" s="58"/>
      <c r="EC1" s="58"/>
      <c r="ED1" s="58"/>
      <c r="EE1" s="58"/>
      <c r="EF1" s="58"/>
      <c r="EH1" s="58"/>
      <c r="EI1" s="58"/>
      <c r="EJ1" s="58"/>
      <c r="EK1" s="58"/>
      <c r="EM1" s="58"/>
      <c r="EN1" s="58"/>
      <c r="EO1" s="58"/>
      <c r="EP1" s="58"/>
      <c r="ER1" s="58"/>
      <c r="ES1" s="58"/>
      <c r="ET1" s="58"/>
      <c r="EU1" s="58"/>
      <c r="EW1" s="58"/>
      <c r="EX1" s="58"/>
      <c r="EY1" s="58"/>
      <c r="EZ1" s="58"/>
      <c r="FB1" s="58"/>
      <c r="FC1" s="58"/>
      <c r="FD1" s="58"/>
      <c r="FE1" s="58"/>
      <c r="FG1" s="58"/>
      <c r="FH1" s="58"/>
      <c r="FI1" s="58"/>
      <c r="FJ1" s="58"/>
      <c r="FL1" s="58"/>
      <c r="FM1" s="58"/>
      <c r="FN1" s="58"/>
      <c r="FO1" s="58"/>
      <c r="FQ1" s="58"/>
      <c r="FR1" s="58"/>
      <c r="FS1" s="58"/>
      <c r="FT1" s="58"/>
      <c r="FV1" s="58"/>
      <c r="FW1" s="58"/>
      <c r="FX1" s="58"/>
      <c r="FY1" s="58"/>
      <c r="GA1" s="338"/>
      <c r="GB1" s="338"/>
      <c r="GC1" s="338"/>
      <c r="GD1" s="338"/>
      <c r="GF1" s="338"/>
      <c r="GG1" s="338"/>
      <c r="GH1" s="338"/>
      <c r="GI1" s="338"/>
      <c r="GK1" s="338"/>
      <c r="GL1" s="338"/>
      <c r="GM1" s="338"/>
      <c r="GN1" s="338"/>
      <c r="GP1" s="338"/>
      <c r="GQ1" s="338"/>
      <c r="GR1" s="338"/>
      <c r="GS1" s="338"/>
      <c r="GV1" s="338"/>
      <c r="GW1" s="338"/>
      <c r="GX1" s="338"/>
      <c r="GY1" s="338"/>
      <c r="HA1" s="338"/>
      <c r="HB1" s="338"/>
      <c r="HC1" s="338"/>
      <c r="HD1" s="338"/>
      <c r="HF1" s="338"/>
      <c r="HG1" s="338"/>
      <c r="HH1" s="338"/>
      <c r="HI1" s="338"/>
      <c r="HK1" s="338"/>
      <c r="HL1" s="338"/>
      <c r="HM1" s="338"/>
      <c r="HN1" s="338"/>
      <c r="HP1" s="338"/>
      <c r="HQ1" s="338"/>
      <c r="HR1" s="338"/>
      <c r="HS1" s="338"/>
      <c r="HU1" s="338"/>
      <c r="HV1" s="338"/>
      <c r="HW1" s="338"/>
      <c r="HX1" s="338"/>
      <c r="HZ1" s="338"/>
      <c r="IA1" s="338"/>
      <c r="IB1" s="338"/>
      <c r="IC1" s="338"/>
      <c r="IE1" s="153"/>
      <c r="IF1" s="153"/>
      <c r="IG1" s="153"/>
      <c r="IH1" s="153"/>
      <c r="IJ1" s="153"/>
      <c r="IK1" s="153"/>
      <c r="IL1" s="153"/>
      <c r="IM1" s="153"/>
      <c r="IO1" s="58"/>
      <c r="IP1" s="58"/>
      <c r="IQ1" s="58"/>
      <c r="IR1" s="58"/>
      <c r="IT1" s="58"/>
      <c r="IU1" s="58"/>
      <c r="IV1" s="58"/>
      <c r="IW1" s="58"/>
      <c r="IY1" s="58"/>
      <c r="IZ1" s="58"/>
      <c r="JA1" s="58"/>
      <c r="JB1" s="58"/>
      <c r="JD1" s="58"/>
      <c r="JE1" s="58"/>
      <c r="JF1" s="58"/>
      <c r="JG1" s="58"/>
      <c r="JH1" s="58"/>
      <c r="JI1" s="58"/>
      <c r="JJ1" s="58"/>
      <c r="JK1" s="58"/>
      <c r="JL1" s="58"/>
      <c r="JN1" s="58"/>
      <c r="JO1" s="58"/>
      <c r="JP1" s="58"/>
      <c r="JQ1" s="58"/>
      <c r="JS1" s="58"/>
      <c r="JT1" s="58"/>
      <c r="JU1" s="58"/>
      <c r="JV1" s="58"/>
      <c r="JX1" s="58"/>
      <c r="JY1" s="58"/>
      <c r="JZ1" s="58"/>
      <c r="KA1" s="58"/>
      <c r="KC1" s="58"/>
      <c r="KD1" s="58"/>
      <c r="KE1" s="58"/>
      <c r="KF1" s="58"/>
      <c r="KH1" s="1"/>
      <c r="KI1" s="1"/>
      <c r="KJ1" s="1"/>
      <c r="KK1" s="1"/>
      <c r="KM1" s="58"/>
      <c r="KN1" s="58"/>
      <c r="KO1" s="58"/>
      <c r="KP1" s="58"/>
      <c r="KR1" s="1"/>
      <c r="KS1" s="1"/>
      <c r="KT1" s="1"/>
      <c r="KU1" s="1"/>
      <c r="KW1" s="58"/>
      <c r="KX1" s="58"/>
      <c r="KY1" s="58"/>
      <c r="KZ1" s="58"/>
      <c r="LB1" s="1"/>
      <c r="LC1" s="1"/>
      <c r="LD1" s="1"/>
      <c r="LE1" s="1"/>
      <c r="LG1" s="1"/>
      <c r="LH1" s="1"/>
      <c r="LI1" s="1"/>
      <c r="LJ1" s="1"/>
      <c r="LL1" s="1"/>
      <c r="LM1" s="1"/>
      <c r="LN1" s="1"/>
      <c r="LO1" s="1"/>
      <c r="LP1" s="58"/>
      <c r="LQ1" s="1"/>
      <c r="LR1" s="1"/>
      <c r="LS1" s="1"/>
      <c r="LT1" s="1"/>
      <c r="LU1" s="58"/>
      <c r="LV1" s="1"/>
      <c r="LW1" s="1"/>
      <c r="LX1" s="1"/>
      <c r="LY1" s="1"/>
      <c r="MA1" s="1"/>
      <c r="MB1" s="1"/>
      <c r="MC1" s="1"/>
      <c r="MD1" s="1"/>
      <c r="MF1" s="1"/>
      <c r="MG1" s="1"/>
      <c r="MH1" s="1"/>
      <c r="MI1" s="1"/>
      <c r="MK1" s="1"/>
      <c r="ML1" s="1"/>
      <c r="MM1" s="1"/>
      <c r="MN1" s="1"/>
      <c r="MP1" s="1"/>
      <c r="MQ1" s="1"/>
      <c r="MR1" s="1"/>
      <c r="MS1" s="1"/>
      <c r="MU1" s="1" t="s">
        <v>76</v>
      </c>
      <c r="MV1" s="6"/>
      <c r="MW1" s="6"/>
      <c r="MX1" s="6"/>
      <c r="MY1" s="6"/>
      <c r="NA1" s="6"/>
      <c r="NB1" s="6"/>
      <c r="NC1" s="6"/>
      <c r="ND1" s="6"/>
      <c r="NF1" s="6"/>
      <c r="NG1" s="6"/>
      <c r="NH1" s="6"/>
      <c r="NI1" s="6"/>
    </row>
    <row r="2" spans="1:417" ht="89.25">
      <c r="A2" s="59" t="s">
        <v>372</v>
      </c>
      <c r="C2" s="60" t="s">
        <v>969</v>
      </c>
      <c r="D2" s="60" t="s">
        <v>970</v>
      </c>
      <c r="E2" s="60" t="s">
        <v>971</v>
      </c>
      <c r="F2" s="60" t="s">
        <v>972</v>
      </c>
      <c r="H2" s="60" t="s">
        <v>960</v>
      </c>
      <c r="I2" s="60" t="s">
        <v>961</v>
      </c>
      <c r="J2" s="60" t="s">
        <v>962</v>
      </c>
      <c r="K2" s="60" t="s">
        <v>974</v>
      </c>
      <c r="M2" s="60" t="s">
        <v>963</v>
      </c>
      <c r="N2" s="60" t="s">
        <v>964</v>
      </c>
      <c r="O2" s="60" t="s">
        <v>965</v>
      </c>
      <c r="P2" s="60" t="s">
        <v>973</v>
      </c>
      <c r="R2" s="60" t="s">
        <v>954</v>
      </c>
      <c r="S2" s="60" t="s">
        <v>955</v>
      </c>
      <c r="T2" s="60" t="s">
        <v>950</v>
      </c>
      <c r="U2" s="60" t="s">
        <v>874</v>
      </c>
      <c r="W2" s="60" t="s">
        <v>949</v>
      </c>
      <c r="X2" s="60" t="s">
        <v>946</v>
      </c>
      <c r="Y2" s="60" t="s">
        <v>944</v>
      </c>
      <c r="Z2" s="60" t="s">
        <v>874</v>
      </c>
      <c r="AB2" s="60" t="s">
        <v>943</v>
      </c>
      <c r="AC2" s="60" t="s">
        <v>940</v>
      </c>
      <c r="AD2" s="60" t="s">
        <v>939</v>
      </c>
      <c r="AE2" s="60" t="s">
        <v>861</v>
      </c>
      <c r="AG2" s="60" t="s">
        <v>931</v>
      </c>
      <c r="AH2" s="60" t="s">
        <v>930</v>
      </c>
      <c r="AI2" s="60" t="s">
        <v>929</v>
      </c>
      <c r="AJ2" s="60" t="s">
        <v>976</v>
      </c>
      <c r="AL2" s="60" t="s">
        <v>926</v>
      </c>
      <c r="AM2" s="60" t="s">
        <v>927</v>
      </c>
      <c r="AN2" s="60" t="s">
        <v>928</v>
      </c>
      <c r="AO2" s="60" t="s">
        <v>975</v>
      </c>
      <c r="AQ2" s="60" t="s">
        <v>830</v>
      </c>
      <c r="AR2" s="60" t="s">
        <v>831</v>
      </c>
      <c r="AS2" s="60" t="s">
        <v>832</v>
      </c>
      <c r="AT2" s="60" t="s">
        <v>836</v>
      </c>
      <c r="AV2" s="60" t="s">
        <v>837</v>
      </c>
      <c r="AW2" s="60" t="s">
        <v>838</v>
      </c>
      <c r="AX2" s="60" t="s">
        <v>839</v>
      </c>
      <c r="AY2" s="60" t="s">
        <v>836</v>
      </c>
      <c r="BA2" s="60" t="s">
        <v>818</v>
      </c>
      <c r="BB2" s="60" t="s">
        <v>819</v>
      </c>
      <c r="BC2" s="60" t="s">
        <v>820</v>
      </c>
      <c r="BD2" s="60" t="s">
        <v>817</v>
      </c>
      <c r="BF2" s="60" t="s">
        <v>814</v>
      </c>
      <c r="BG2" s="60" t="s">
        <v>815</v>
      </c>
      <c r="BH2" s="60" t="s">
        <v>816</v>
      </c>
      <c r="BI2" s="60" t="s">
        <v>817</v>
      </c>
      <c r="BK2" s="60" t="s">
        <v>801</v>
      </c>
      <c r="BL2" s="60" t="s">
        <v>802</v>
      </c>
      <c r="BM2" s="60" t="s">
        <v>803</v>
      </c>
      <c r="BN2" s="60" t="s">
        <v>805</v>
      </c>
      <c r="BP2" s="60" t="s">
        <v>807</v>
      </c>
      <c r="BQ2" s="60" t="s">
        <v>808</v>
      </c>
      <c r="BR2" s="60" t="s">
        <v>809</v>
      </c>
      <c r="BS2" s="60" t="s">
        <v>805</v>
      </c>
      <c r="BU2" s="60" t="s">
        <v>783</v>
      </c>
      <c r="BV2" s="60" t="s">
        <v>784</v>
      </c>
      <c r="BW2" s="60" t="s">
        <v>785</v>
      </c>
      <c r="BX2" s="60" t="s">
        <v>787</v>
      </c>
      <c r="BZ2" s="60" t="s">
        <v>764</v>
      </c>
      <c r="CA2" s="60" t="s">
        <v>765</v>
      </c>
      <c r="CB2" s="60" t="s">
        <v>766</v>
      </c>
      <c r="CC2" s="60" t="s">
        <v>773</v>
      </c>
      <c r="CE2" s="60" t="s">
        <v>767</v>
      </c>
      <c r="CF2" s="60" t="s">
        <v>768</v>
      </c>
      <c r="CG2" s="60" t="s">
        <v>769</v>
      </c>
      <c r="CH2" s="60" t="str">
        <f>CC2</f>
        <v>Aktywa ogółem na dzień 
31 grudnia2022 / Total assets as of 31.12.2022</v>
      </c>
      <c r="CJ2" s="60" t="s">
        <v>734</v>
      </c>
      <c r="CK2" s="60" t="s">
        <v>735</v>
      </c>
      <c r="CL2" s="60" t="s">
        <v>736</v>
      </c>
      <c r="CM2" s="60" t="s">
        <v>737</v>
      </c>
      <c r="CO2" s="60" t="s">
        <v>738</v>
      </c>
      <c r="CP2" s="60" t="s">
        <v>739</v>
      </c>
      <c r="CQ2" s="60" t="s">
        <v>740</v>
      </c>
      <c r="CR2" s="60" t="str">
        <f>CM2</f>
        <v>Aktywa ogółem na dzień 
30 września 2022 / Total assets as of 30.09.2022</v>
      </c>
      <c r="CT2" s="60" t="s">
        <v>721</v>
      </c>
      <c r="CU2" s="60" t="s">
        <v>722</v>
      </c>
      <c r="CV2" s="60" t="s">
        <v>723</v>
      </c>
      <c r="CW2" s="60" t="s">
        <v>719</v>
      </c>
      <c r="CY2" s="60" t="s">
        <v>716</v>
      </c>
      <c r="CZ2" s="60" t="s">
        <v>717</v>
      </c>
      <c r="DA2" s="60" t="s">
        <v>718</v>
      </c>
      <c r="DB2" s="60" t="s">
        <v>719</v>
      </c>
      <c r="DD2" s="60" t="s">
        <v>703</v>
      </c>
      <c r="DE2" s="60" t="s">
        <v>704</v>
      </c>
      <c r="DF2" s="60" t="s">
        <v>705</v>
      </c>
      <c r="DG2" s="60" t="s">
        <v>706</v>
      </c>
      <c r="DI2" s="60" t="s">
        <v>671</v>
      </c>
      <c r="DJ2" s="60" t="s">
        <v>672</v>
      </c>
      <c r="DK2" s="60" t="s">
        <v>673</v>
      </c>
      <c r="DL2" s="60" t="s">
        <v>678</v>
      </c>
      <c r="DN2" s="60" t="s">
        <v>669</v>
      </c>
      <c r="DO2" s="60" t="s">
        <v>670</v>
      </c>
      <c r="DP2" s="60" t="s">
        <v>674</v>
      </c>
      <c r="DQ2" s="60" t="str">
        <f>DL2</f>
        <v>Aktywa ogółem na dzień 
31 grudnia 2021 / Total assets as of 31.12.2021</v>
      </c>
      <c r="DS2" s="60" t="s">
        <v>655</v>
      </c>
      <c r="DT2" s="60" t="s">
        <v>656</v>
      </c>
      <c r="DU2" s="60" t="s">
        <v>657</v>
      </c>
      <c r="DV2" s="60" t="s">
        <v>658</v>
      </c>
      <c r="DX2" s="60" t="s">
        <v>659</v>
      </c>
      <c r="DY2" s="60" t="s">
        <v>660</v>
      </c>
      <c r="DZ2" s="60" t="s">
        <v>661</v>
      </c>
      <c r="EA2" s="60" t="str">
        <f>DV2</f>
        <v>Aktywa ogółem na dzień 
30 września 2021 / Total assets as of 30.09.2021</v>
      </c>
      <c r="EC2" s="60" t="s">
        <v>646</v>
      </c>
      <c r="ED2" s="60" t="s">
        <v>647</v>
      </c>
      <c r="EE2" s="60" t="s">
        <v>648</v>
      </c>
      <c r="EF2" s="60" t="s">
        <v>649</v>
      </c>
      <c r="EH2" s="60" t="s">
        <v>643</v>
      </c>
      <c r="EI2" s="60" t="s">
        <v>644</v>
      </c>
      <c r="EJ2" s="60" t="s">
        <v>645</v>
      </c>
      <c r="EK2" s="60" t="str">
        <f>EF2</f>
        <v>Aktywa ogółem na dzień 
30 czerwca 2021 / Total assets as of 30.06.2021</v>
      </c>
      <c r="EM2" s="60" t="s">
        <v>635</v>
      </c>
      <c r="EN2" s="60" t="s">
        <v>636</v>
      </c>
      <c r="EO2" s="60" t="s">
        <v>637</v>
      </c>
      <c r="EP2" s="60" t="s">
        <v>638</v>
      </c>
      <c r="ER2" s="60" t="s">
        <v>614</v>
      </c>
      <c r="ES2" s="60" t="s">
        <v>615</v>
      </c>
      <c r="ET2" s="60" t="s">
        <v>616</v>
      </c>
      <c r="EU2" s="60" t="s">
        <v>623</v>
      </c>
      <c r="EW2" s="60" t="s">
        <v>617</v>
      </c>
      <c r="EX2" s="60" t="s">
        <v>618</v>
      </c>
      <c r="EY2" s="60" t="s">
        <v>619</v>
      </c>
      <c r="EZ2" s="60" t="str">
        <f>EU2</f>
        <v>Aktywa ogółem na dzień 
31 grudnia 2020 / Total assets as of 31.12.2020</v>
      </c>
      <c r="FB2" s="60" t="s">
        <v>599</v>
      </c>
      <c r="FC2" s="60" t="s">
        <v>600</v>
      </c>
      <c r="FD2" s="60" t="s">
        <v>601</v>
      </c>
      <c r="FE2" s="60" t="s">
        <v>602</v>
      </c>
      <c r="FG2" s="60" t="s">
        <v>603</v>
      </c>
      <c r="FH2" s="60" t="s">
        <v>604</v>
      </c>
      <c r="FI2" s="60" t="s">
        <v>605</v>
      </c>
      <c r="FJ2" s="60" t="str">
        <f>FE2</f>
        <v>Aktywa ogółem na dzień 
30 września 2020 / Total assets as of 30.09.2020</v>
      </c>
      <c r="FL2" s="60" t="s">
        <v>592</v>
      </c>
      <c r="FM2" s="60" t="s">
        <v>593</v>
      </c>
      <c r="FN2" s="60" t="s">
        <v>594</v>
      </c>
      <c r="FO2" s="60" t="s">
        <v>595</v>
      </c>
      <c r="FQ2" s="60" t="s">
        <v>587</v>
      </c>
      <c r="FR2" s="60" t="s">
        <v>589</v>
      </c>
      <c r="FS2" s="60" t="s">
        <v>590</v>
      </c>
      <c r="FT2" s="60" t="s">
        <v>595</v>
      </c>
      <c r="FV2" s="60" t="s">
        <v>577</v>
      </c>
      <c r="FW2" s="60" t="s">
        <v>578</v>
      </c>
      <c r="FX2" s="60" t="s">
        <v>579</v>
      </c>
      <c r="FY2" s="60" t="s">
        <v>580</v>
      </c>
      <c r="GA2" s="340" t="s">
        <v>567</v>
      </c>
      <c r="GB2" s="340" t="s">
        <v>568</v>
      </c>
      <c r="GC2" s="340" t="s">
        <v>569</v>
      </c>
      <c r="GD2" s="340" t="s">
        <v>570</v>
      </c>
      <c r="GF2" s="340" t="s">
        <v>571</v>
      </c>
      <c r="GG2" s="340" t="s">
        <v>572</v>
      </c>
      <c r="GH2" s="340" t="s">
        <v>573</v>
      </c>
      <c r="GI2" s="340" t="s">
        <v>570</v>
      </c>
      <c r="GK2" s="340" t="s">
        <v>552</v>
      </c>
      <c r="GL2" s="340" t="s">
        <v>553</v>
      </c>
      <c r="GM2" s="340" t="s">
        <v>554</v>
      </c>
      <c r="GN2" s="340" t="s">
        <v>555</v>
      </c>
      <c r="GP2" s="340" t="s">
        <v>556</v>
      </c>
      <c r="GQ2" s="340" t="s">
        <v>557</v>
      </c>
      <c r="GR2" s="340" t="s">
        <v>558</v>
      </c>
      <c r="GS2" s="340" t="s">
        <v>555</v>
      </c>
      <c r="GV2" s="340" t="s">
        <v>544</v>
      </c>
      <c r="GW2" s="340" t="s">
        <v>545</v>
      </c>
      <c r="GX2" s="340" t="s">
        <v>546</v>
      </c>
      <c r="GY2" s="340" t="s">
        <v>539</v>
      </c>
      <c r="HA2" s="340" t="s">
        <v>540</v>
      </c>
      <c r="HB2" s="340" t="s">
        <v>541</v>
      </c>
      <c r="HC2" s="340" t="s">
        <v>542</v>
      </c>
      <c r="HD2" s="340" t="s">
        <v>539</v>
      </c>
      <c r="HF2" s="340" t="s">
        <v>529</v>
      </c>
      <c r="HG2" s="340" t="s">
        <v>530</v>
      </c>
      <c r="HH2" s="340" t="s">
        <v>531</v>
      </c>
      <c r="HI2" s="340" t="s">
        <v>532</v>
      </c>
      <c r="HK2" s="340" t="s">
        <v>516</v>
      </c>
      <c r="HL2" s="340" t="s">
        <v>517</v>
      </c>
      <c r="HM2" s="340" t="s">
        <v>518</v>
      </c>
      <c r="HN2" s="340" t="s">
        <v>519</v>
      </c>
      <c r="HP2" s="340" t="s">
        <v>522</v>
      </c>
      <c r="HQ2" s="340" t="s">
        <v>523</v>
      </c>
      <c r="HR2" s="340" t="s">
        <v>524</v>
      </c>
      <c r="HS2" s="340" t="s">
        <v>504</v>
      </c>
      <c r="HU2" s="340" t="s">
        <v>501</v>
      </c>
      <c r="HV2" s="340" t="s">
        <v>502</v>
      </c>
      <c r="HW2" s="340" t="s">
        <v>503</v>
      </c>
      <c r="HX2" s="340" t="s">
        <v>504</v>
      </c>
      <c r="HZ2" s="340" t="s">
        <v>505</v>
      </c>
      <c r="IA2" s="340" t="s">
        <v>506</v>
      </c>
      <c r="IB2" s="340" t="s">
        <v>507</v>
      </c>
      <c r="IC2" s="340" t="s">
        <v>504</v>
      </c>
      <c r="IE2" s="177" t="s">
        <v>492</v>
      </c>
      <c r="IF2" s="177" t="s">
        <v>493</v>
      </c>
      <c r="IG2" s="177" t="s">
        <v>494</v>
      </c>
      <c r="IH2" s="177" t="s">
        <v>460</v>
      </c>
      <c r="IJ2" s="177" t="s">
        <v>457</v>
      </c>
      <c r="IK2" s="177" t="s">
        <v>458</v>
      </c>
      <c r="IL2" s="177" t="s">
        <v>459</v>
      </c>
      <c r="IM2" s="177" t="s">
        <v>460</v>
      </c>
      <c r="IO2" s="177" t="s">
        <v>109</v>
      </c>
      <c r="IP2" s="177" t="s">
        <v>110</v>
      </c>
      <c r="IQ2" s="177" t="s">
        <v>112</v>
      </c>
      <c r="IR2" s="177" t="s">
        <v>114</v>
      </c>
      <c r="IT2" s="177" t="s">
        <v>201</v>
      </c>
      <c r="IU2" s="177" t="s">
        <v>123</v>
      </c>
      <c r="IV2" s="177" t="s">
        <v>124</v>
      </c>
      <c r="IW2" s="177" t="s">
        <v>128</v>
      </c>
      <c r="IY2" s="177" t="s">
        <v>116</v>
      </c>
      <c r="IZ2" s="177" t="s">
        <v>117</v>
      </c>
      <c r="JA2" s="177" t="s">
        <v>119</v>
      </c>
      <c r="JB2" s="177" t="s">
        <v>121</v>
      </c>
      <c r="JC2" s="157"/>
      <c r="JD2" s="177" t="s">
        <v>363</v>
      </c>
      <c r="JE2" s="177" t="s">
        <v>366</v>
      </c>
      <c r="JF2" s="177" t="s">
        <v>367</v>
      </c>
      <c r="JG2" s="177" t="s">
        <v>134</v>
      </c>
      <c r="JH2" s="177"/>
      <c r="JI2" s="177" t="s">
        <v>129</v>
      </c>
      <c r="JJ2" s="177" t="s">
        <v>130</v>
      </c>
      <c r="JK2" s="177" t="s">
        <v>132</v>
      </c>
      <c r="JL2" s="177" t="s">
        <v>134</v>
      </c>
      <c r="JM2" s="157"/>
      <c r="JN2" s="177" t="s">
        <v>144</v>
      </c>
      <c r="JO2" s="177" t="s">
        <v>146</v>
      </c>
      <c r="JP2" s="177" t="s">
        <v>148</v>
      </c>
      <c r="JQ2" s="177" t="s">
        <v>142</v>
      </c>
      <c r="JR2" s="157"/>
      <c r="JS2" s="177" t="s">
        <v>136</v>
      </c>
      <c r="JT2" s="177" t="s">
        <v>138</v>
      </c>
      <c r="JU2" s="177" t="s">
        <v>140</v>
      </c>
      <c r="JV2" s="177" t="s">
        <v>142</v>
      </c>
      <c r="JW2" s="157"/>
      <c r="JX2" s="177" t="s">
        <v>150</v>
      </c>
      <c r="JY2" s="177" t="s">
        <v>152</v>
      </c>
      <c r="JZ2" s="177" t="s">
        <v>113</v>
      </c>
      <c r="KA2" s="177" t="s">
        <v>115</v>
      </c>
      <c r="KB2" s="157"/>
      <c r="KC2" s="177" t="s">
        <v>155</v>
      </c>
      <c r="KD2" s="177" t="s">
        <v>125</v>
      </c>
      <c r="KE2" s="177" t="s">
        <v>126</v>
      </c>
      <c r="KF2" s="177" t="s">
        <v>143</v>
      </c>
      <c r="KG2" s="157"/>
      <c r="KH2" s="177" t="s">
        <v>491</v>
      </c>
      <c r="KI2" s="177" t="s">
        <v>332</v>
      </c>
      <c r="KJ2" s="177" t="s">
        <v>490</v>
      </c>
      <c r="KK2" s="177" t="s">
        <v>143</v>
      </c>
      <c r="KL2" s="157"/>
      <c r="KM2" s="177" t="s">
        <v>333</v>
      </c>
      <c r="KN2" s="177" t="s">
        <v>334</v>
      </c>
      <c r="KO2" s="177" t="s">
        <v>335</v>
      </c>
      <c r="KP2" s="177" t="s">
        <v>135</v>
      </c>
      <c r="KQ2" s="157"/>
      <c r="KR2" s="177" t="s">
        <v>339</v>
      </c>
      <c r="KS2" s="177" t="s">
        <v>340</v>
      </c>
      <c r="KT2" s="177" t="s">
        <v>489</v>
      </c>
      <c r="KU2" s="177" t="s">
        <v>135</v>
      </c>
      <c r="KV2" s="157"/>
      <c r="KW2" s="177" t="s">
        <v>344</v>
      </c>
      <c r="KX2" s="177" t="s">
        <v>488</v>
      </c>
      <c r="KY2" s="177" t="s">
        <v>487</v>
      </c>
      <c r="KZ2" s="177" t="s">
        <v>161</v>
      </c>
      <c r="LA2" s="157"/>
      <c r="LB2" s="177" t="s">
        <v>137</v>
      </c>
      <c r="LC2" s="177" t="s">
        <v>345</v>
      </c>
      <c r="LD2" s="177" t="s">
        <v>486</v>
      </c>
      <c r="LE2" s="177" t="s">
        <v>161</v>
      </c>
      <c r="LF2" s="157"/>
      <c r="LG2" s="177" t="s">
        <v>151</v>
      </c>
      <c r="LH2" s="177" t="s">
        <v>348</v>
      </c>
      <c r="LI2" s="177" t="s">
        <v>485</v>
      </c>
      <c r="LJ2" s="177" t="s">
        <v>164</v>
      </c>
      <c r="LK2" s="157"/>
      <c r="LL2" s="177" t="s">
        <v>165</v>
      </c>
      <c r="LM2" s="177" t="s">
        <v>166</v>
      </c>
      <c r="LN2" s="177" t="s">
        <v>167</v>
      </c>
      <c r="LO2" s="177" t="s">
        <v>168</v>
      </c>
      <c r="LP2" s="157"/>
      <c r="LQ2" s="177" t="s">
        <v>483</v>
      </c>
      <c r="LR2" s="177" t="s">
        <v>481</v>
      </c>
      <c r="LS2" s="177" t="s">
        <v>479</v>
      </c>
      <c r="LT2" s="177" t="s">
        <v>168</v>
      </c>
      <c r="LU2" s="178"/>
      <c r="LV2" s="177" t="s">
        <v>351</v>
      </c>
      <c r="LW2" s="177" t="s">
        <v>355</v>
      </c>
      <c r="LX2" s="177" t="s">
        <v>369</v>
      </c>
      <c r="LY2" s="177" t="s">
        <v>160</v>
      </c>
      <c r="LZ2" s="157"/>
      <c r="MA2" s="177" t="s">
        <v>477</v>
      </c>
      <c r="MB2" s="177" t="s">
        <v>475</v>
      </c>
      <c r="MC2" s="177" t="s">
        <v>473</v>
      </c>
      <c r="MD2" s="177" t="s">
        <v>160</v>
      </c>
      <c r="ME2" s="157"/>
      <c r="MF2" s="177" t="s">
        <v>343</v>
      </c>
      <c r="MG2" s="177" t="s">
        <v>471</v>
      </c>
      <c r="MH2" s="177" t="s">
        <v>469</v>
      </c>
      <c r="MI2" s="177" t="s">
        <v>174</v>
      </c>
      <c r="MJ2" s="157"/>
      <c r="MK2" s="177" t="s">
        <v>467</v>
      </c>
      <c r="ML2" s="177" t="s">
        <v>463</v>
      </c>
      <c r="MM2" s="177" t="s">
        <v>464</v>
      </c>
      <c r="MN2" s="177" t="s">
        <v>174</v>
      </c>
      <c r="MO2" s="157"/>
      <c r="MP2" s="177" t="s">
        <v>461</v>
      </c>
      <c r="MQ2" s="177" t="s">
        <v>357</v>
      </c>
      <c r="MR2" s="177" t="s">
        <v>462</v>
      </c>
      <c r="MS2" s="177" t="s">
        <v>176</v>
      </c>
      <c r="MT2" s="157"/>
      <c r="MU2" s="178" t="s">
        <v>372</v>
      </c>
      <c r="MV2" s="179" t="s">
        <v>178</v>
      </c>
      <c r="MW2" s="179" t="s">
        <v>89</v>
      </c>
      <c r="MX2" s="179" t="s">
        <v>90</v>
      </c>
      <c r="MY2" s="179" t="s">
        <v>179</v>
      </c>
      <c r="MZ2" s="157"/>
      <c r="NA2" s="179" t="s">
        <v>352</v>
      </c>
      <c r="NB2" s="179" t="s">
        <v>96</v>
      </c>
      <c r="NC2" s="179" t="s">
        <v>97</v>
      </c>
      <c r="ND2" s="179" t="s">
        <v>191</v>
      </c>
      <c r="NE2" s="157"/>
      <c r="NF2" s="179" t="s">
        <v>195</v>
      </c>
      <c r="NG2" s="179" t="s">
        <v>104</v>
      </c>
      <c r="NH2" s="179" t="s">
        <v>105</v>
      </c>
      <c r="NI2" s="179" t="s">
        <v>196</v>
      </c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  <c r="NY2" s="157"/>
      <c r="NZ2" s="157"/>
      <c r="OA2" s="157"/>
      <c r="OB2" s="157"/>
      <c r="OC2" s="157"/>
      <c r="OD2" s="157"/>
      <c r="OE2" s="157"/>
      <c r="OF2" s="157"/>
      <c r="OG2" s="157"/>
      <c r="OH2" s="157"/>
      <c r="OI2" s="157"/>
      <c r="OJ2" s="157"/>
      <c r="OK2" s="157"/>
      <c r="OL2" s="157"/>
      <c r="OM2" s="157"/>
      <c r="ON2" s="157"/>
      <c r="OO2" s="157"/>
      <c r="OP2" s="157"/>
      <c r="OQ2" s="157"/>
      <c r="OR2" s="157"/>
      <c r="OS2" s="157"/>
      <c r="OT2" s="157"/>
      <c r="OU2" s="157"/>
      <c r="OV2" s="157"/>
      <c r="OW2" s="157"/>
      <c r="OX2" s="157"/>
      <c r="OY2" s="157"/>
      <c r="OZ2" s="157"/>
      <c r="PA2" s="157"/>
    </row>
    <row r="3" spans="1:417">
      <c r="A3" s="306" t="s">
        <v>77</v>
      </c>
      <c r="D3" s="685"/>
      <c r="E3" s="685"/>
      <c r="F3" s="685"/>
      <c r="H3" s="685"/>
      <c r="I3" s="685"/>
      <c r="J3" s="685"/>
      <c r="K3" s="685"/>
      <c r="M3" s="685"/>
      <c r="N3" s="685"/>
      <c r="O3" s="685"/>
      <c r="P3" s="685"/>
      <c r="R3" s="685"/>
      <c r="S3" s="685"/>
      <c r="T3" s="685"/>
      <c r="U3" s="685"/>
      <c r="W3" s="685"/>
      <c r="X3" s="685"/>
      <c r="Y3" s="685"/>
      <c r="Z3" s="685"/>
      <c r="AB3" s="685"/>
      <c r="AC3" s="685"/>
      <c r="AD3" s="685"/>
      <c r="AE3" s="685"/>
      <c r="AG3" s="685"/>
      <c r="AH3" s="685"/>
      <c r="AI3" s="685"/>
      <c r="AJ3" s="685"/>
      <c r="AL3" s="685"/>
      <c r="AM3" s="685"/>
      <c r="AN3" s="685"/>
      <c r="AO3" s="685"/>
      <c r="AQ3" s="685"/>
      <c r="AR3" s="685"/>
      <c r="AS3" s="685"/>
      <c r="AT3" s="685"/>
      <c r="AV3" s="685"/>
      <c r="AW3" s="685"/>
      <c r="AX3" s="685"/>
      <c r="AY3" s="685"/>
      <c r="BA3" s="685"/>
      <c r="BB3" s="685"/>
      <c r="BC3" s="685"/>
      <c r="BD3" s="685"/>
      <c r="BF3" s="685"/>
      <c r="BG3" s="685"/>
      <c r="BH3" s="685"/>
      <c r="BI3" s="685"/>
      <c r="BK3" s="685"/>
      <c r="BL3" s="685"/>
      <c r="BM3" s="685"/>
      <c r="BN3" s="685"/>
      <c r="BP3" s="685"/>
      <c r="BQ3" s="685"/>
      <c r="BR3" s="685"/>
      <c r="BS3" s="685"/>
      <c r="BU3" s="685"/>
      <c r="BV3" s="685"/>
      <c r="BW3" s="685"/>
      <c r="BX3" s="685"/>
      <c r="BZ3" s="685">
        <v>0</v>
      </c>
      <c r="CA3" s="685">
        <v>0</v>
      </c>
      <c r="CB3" s="685">
        <v>0</v>
      </c>
      <c r="CC3" s="685">
        <v>0</v>
      </c>
      <c r="CE3" s="685"/>
      <c r="CF3" s="685"/>
      <c r="CG3" s="685"/>
      <c r="CH3" s="685"/>
      <c r="CJ3" s="336">
        <v>444000</v>
      </c>
      <c r="CK3" s="336">
        <v>-53000</v>
      </c>
      <c r="CL3" s="336">
        <v>-81000</v>
      </c>
      <c r="CM3" s="336">
        <f t="shared" ref="CM3:CM9" si="0">CR3</f>
        <v>900000</v>
      </c>
      <c r="CO3" s="336">
        <v>1639000</v>
      </c>
      <c r="CP3" s="336">
        <v>271000</v>
      </c>
      <c r="CQ3" s="336">
        <v>57000</v>
      </c>
      <c r="CR3" s="336">
        <v>900000</v>
      </c>
      <c r="CT3" s="336">
        <f t="shared" ref="CT3:CV9" si="1">CY3-DD3</f>
        <v>637000</v>
      </c>
      <c r="CU3" s="336">
        <f t="shared" si="1"/>
        <v>207000</v>
      </c>
      <c r="CV3" s="336">
        <f t="shared" si="1"/>
        <v>73000</v>
      </c>
      <c r="CW3" s="336">
        <v>766000</v>
      </c>
      <c r="CY3" s="336">
        <v>1195000</v>
      </c>
      <c r="CZ3" s="336">
        <v>324000</v>
      </c>
      <c r="DA3" s="336">
        <v>138000</v>
      </c>
      <c r="DB3" s="336">
        <v>766000</v>
      </c>
      <c r="DD3" s="336">
        <v>558000</v>
      </c>
      <c r="DE3" s="336">
        <v>117000</v>
      </c>
      <c r="DF3" s="336">
        <v>65000</v>
      </c>
      <c r="DG3" s="336">
        <v>915000</v>
      </c>
      <c r="DI3" s="336">
        <f t="shared" ref="DI3:DK9" si="2">DN3-DX3</f>
        <v>476951</v>
      </c>
      <c r="DJ3" s="336">
        <f t="shared" si="2"/>
        <v>44292</v>
      </c>
      <c r="DK3" s="336">
        <f t="shared" si="2"/>
        <v>1650</v>
      </c>
      <c r="DL3" s="336">
        <f t="shared" ref="DL3:DL9" si="3">DQ3</f>
        <v>899000</v>
      </c>
      <c r="DN3" s="336">
        <v>1467000</v>
      </c>
      <c r="DO3" s="336">
        <v>-130000</v>
      </c>
      <c r="DP3" s="336">
        <v>-458000</v>
      </c>
      <c r="DQ3" s="336">
        <v>899000</v>
      </c>
      <c r="DS3" s="336">
        <f t="shared" ref="DS3:DU9" si="4">DX3-EH3</f>
        <v>410046</v>
      </c>
      <c r="DT3" s="336">
        <f t="shared" si="4"/>
        <v>-128865</v>
      </c>
      <c r="DU3" s="336">
        <f t="shared" si="4"/>
        <v>-138814</v>
      </c>
      <c r="DV3" s="336">
        <f t="shared" ref="DV3:DV9" si="5">EA3</f>
        <v>913954</v>
      </c>
      <c r="DX3" s="336">
        <v>990049</v>
      </c>
      <c r="DY3" s="336">
        <v>-174292</v>
      </c>
      <c r="DZ3" s="336">
        <v>-459650</v>
      </c>
      <c r="EA3" s="336">
        <v>913954</v>
      </c>
      <c r="EC3" s="336">
        <f t="shared" ref="EC3:EE9" si="6">EH3-EM3</f>
        <v>277409</v>
      </c>
      <c r="ED3" s="336">
        <f t="shared" si="6"/>
        <v>-31805</v>
      </c>
      <c r="EE3" s="336">
        <f t="shared" si="6"/>
        <v>-270980</v>
      </c>
      <c r="EF3" s="336">
        <f t="shared" ref="EF3:EF9" si="7">EK3</f>
        <v>992426</v>
      </c>
      <c r="EH3" s="336">
        <v>580003</v>
      </c>
      <c r="EI3" s="336">
        <v>-45427</v>
      </c>
      <c r="EJ3" s="336">
        <v>-320836</v>
      </c>
      <c r="EK3" s="336">
        <v>992426</v>
      </c>
      <c r="EM3" s="336">
        <v>302594</v>
      </c>
      <c r="EN3" s="336">
        <v>-13622</v>
      </c>
      <c r="EO3" s="336">
        <v>-49856</v>
      </c>
      <c r="EP3" s="336">
        <v>1170623</v>
      </c>
      <c r="ER3" s="336">
        <f t="shared" ref="ER3:ET10" si="8">EW3-FG3</f>
        <v>263199</v>
      </c>
      <c r="ES3" s="336">
        <f t="shared" si="8"/>
        <v>-124915</v>
      </c>
      <c r="ET3" s="336">
        <f t="shared" si="8"/>
        <v>-538919</v>
      </c>
      <c r="EU3" s="336">
        <f t="shared" ref="EU3:EU10" si="9">EZ3</f>
        <v>1115883</v>
      </c>
      <c r="EW3" s="336">
        <v>1051923</v>
      </c>
      <c r="EX3" s="336">
        <v>-157321</v>
      </c>
      <c r="EY3" s="336">
        <v>-886665</v>
      </c>
      <c r="EZ3" s="336">
        <v>1115883</v>
      </c>
      <c r="FB3" s="336">
        <v>285753</v>
      </c>
      <c r="FC3" s="336">
        <v>-39185</v>
      </c>
      <c r="FD3" s="336">
        <v>-76441</v>
      </c>
      <c r="FE3" s="336">
        <f t="shared" ref="FE3:FE10" si="10">FJ3</f>
        <v>1441598</v>
      </c>
      <c r="FG3" s="336">
        <v>788724</v>
      </c>
      <c r="FH3" s="336">
        <v>-32406</v>
      </c>
      <c r="FI3" s="336">
        <v>-347746</v>
      </c>
      <c r="FJ3" s="336">
        <v>1441598</v>
      </c>
      <c r="FL3" s="336">
        <f t="shared" ref="FL3:FN10" si="11">FQ3-FV3</f>
        <v>266547</v>
      </c>
      <c r="FM3" s="337">
        <f t="shared" si="11"/>
        <v>43134</v>
      </c>
      <c r="FN3" s="336">
        <f t="shared" si="11"/>
        <v>-187414</v>
      </c>
      <c r="FO3" s="336">
        <v>1390938</v>
      </c>
      <c r="FQ3" s="336">
        <v>502971</v>
      </c>
      <c r="FR3" s="337">
        <v>6779</v>
      </c>
      <c r="FS3" s="336">
        <v>-271305</v>
      </c>
      <c r="FT3" s="336">
        <v>1390938</v>
      </c>
      <c r="FV3" s="336">
        <v>236424</v>
      </c>
      <c r="FW3" s="337">
        <v>-36355</v>
      </c>
      <c r="FX3" s="336">
        <v>-83891</v>
      </c>
      <c r="FY3" s="336">
        <v>1407752</v>
      </c>
      <c r="GA3" s="341">
        <v>944433</v>
      </c>
      <c r="GB3" s="342">
        <v>-499865</v>
      </c>
      <c r="GC3" s="341">
        <v>-1391949</v>
      </c>
      <c r="GD3" s="341">
        <v>1294329</v>
      </c>
      <c r="GF3" s="341">
        <v>211025</v>
      </c>
      <c r="GG3" s="342">
        <v>-238211</v>
      </c>
      <c r="GH3" s="341">
        <v>-715608</v>
      </c>
      <c r="GI3" s="341">
        <v>1294329</v>
      </c>
      <c r="GK3" s="341">
        <v>733408</v>
      </c>
      <c r="GL3" s="342">
        <v>-261654</v>
      </c>
      <c r="GM3" s="341">
        <v>-676341</v>
      </c>
      <c r="GN3" s="341">
        <v>1608857</v>
      </c>
      <c r="GP3" s="341">
        <v>201718</v>
      </c>
      <c r="GQ3" s="342">
        <v>-118717</v>
      </c>
      <c r="GR3" s="341">
        <v>-165004</v>
      </c>
      <c r="GS3" s="341">
        <v>1608857</v>
      </c>
      <c r="GV3" s="341">
        <v>531690</v>
      </c>
      <c r="GW3" s="342">
        <v>-142937</v>
      </c>
      <c r="GX3" s="341">
        <v>-511337</v>
      </c>
      <c r="GY3" s="341">
        <v>1544654</v>
      </c>
      <c r="HA3" s="341">
        <v>239824</v>
      </c>
      <c r="HB3" s="342">
        <v>-98651</v>
      </c>
      <c r="HC3" s="341">
        <v>-415418</v>
      </c>
      <c r="HD3" s="341">
        <v>1544654</v>
      </c>
      <c r="HF3" s="341">
        <v>291866</v>
      </c>
      <c r="HG3" s="342">
        <v>-44286</v>
      </c>
      <c r="HH3" s="341">
        <v>-95919</v>
      </c>
      <c r="HI3" s="341">
        <v>1743682</v>
      </c>
      <c r="HK3" s="341">
        <v>1266024</v>
      </c>
      <c r="HL3" s="341">
        <v>-207181</v>
      </c>
      <c r="HM3" s="341">
        <v>-1053469</v>
      </c>
      <c r="HN3" s="341">
        <v>1589823</v>
      </c>
      <c r="HP3" s="341">
        <v>314649</v>
      </c>
      <c r="HQ3" s="342">
        <v>-112725</v>
      </c>
      <c r="HR3" s="341">
        <v>-136788</v>
      </c>
      <c r="HS3" s="341">
        <v>1589823</v>
      </c>
      <c r="HU3" s="341">
        <v>951375</v>
      </c>
      <c r="HV3" s="342">
        <v>-94456</v>
      </c>
      <c r="HW3" s="341">
        <v>-916681</v>
      </c>
      <c r="HX3" s="341">
        <v>1487764</v>
      </c>
      <c r="HZ3" s="341">
        <v>272589</v>
      </c>
      <c r="IA3" s="342">
        <v>-28789</v>
      </c>
      <c r="IB3" s="341">
        <v>-50515</v>
      </c>
      <c r="IC3" s="341">
        <v>1487764</v>
      </c>
      <c r="IE3" s="166">
        <v>678786</v>
      </c>
      <c r="IF3" s="319">
        <v>-65667</v>
      </c>
      <c r="IG3" s="166">
        <v>-866166</v>
      </c>
      <c r="IH3" s="166">
        <v>1397631</v>
      </c>
      <c r="IJ3" s="166">
        <v>293543</v>
      </c>
      <c r="IK3" s="319">
        <v>-76005</v>
      </c>
      <c r="IL3" s="166">
        <v>-842790</v>
      </c>
      <c r="IM3" s="166">
        <v>1397631</v>
      </c>
      <c r="IO3" s="156">
        <v>385243</v>
      </c>
      <c r="IP3" s="183">
        <v>10338</v>
      </c>
      <c r="IQ3" s="156">
        <v>-23376</v>
      </c>
      <c r="IR3" s="156">
        <v>2126068</v>
      </c>
      <c r="IT3" s="156">
        <v>1541425</v>
      </c>
      <c r="IU3" s="156">
        <v>-83036</v>
      </c>
      <c r="IV3" s="156">
        <v>-211070</v>
      </c>
      <c r="IW3" s="156">
        <v>2085538</v>
      </c>
      <c r="IY3" s="156">
        <v>422958</v>
      </c>
      <c r="IZ3" s="183">
        <v>-41352</v>
      </c>
      <c r="JA3" s="156">
        <v>-75834</v>
      </c>
      <c r="JB3" s="156">
        <v>2085538</v>
      </c>
      <c r="JC3" s="157"/>
      <c r="JD3" s="156">
        <v>1118467</v>
      </c>
      <c r="JE3" s="156">
        <v>-41684</v>
      </c>
      <c r="JF3" s="156">
        <v>-135236</v>
      </c>
      <c r="JG3" s="156">
        <v>2009687</v>
      </c>
      <c r="JH3" s="156"/>
      <c r="JI3" s="156">
        <v>336783</v>
      </c>
      <c r="JJ3" s="156">
        <v>-36968</v>
      </c>
      <c r="JK3" s="156">
        <v>-69420</v>
      </c>
      <c r="JL3" s="156">
        <v>2009687</v>
      </c>
      <c r="JM3" s="157"/>
      <c r="JN3" s="156">
        <v>781684</v>
      </c>
      <c r="JO3" s="156">
        <v>-4716</v>
      </c>
      <c r="JP3" s="156">
        <v>-65816</v>
      </c>
      <c r="JQ3" s="156">
        <v>2020059</v>
      </c>
      <c r="JR3" s="157"/>
      <c r="JS3" s="156">
        <f t="shared" ref="JS3:JU9" si="12">JN3-JX3</f>
        <v>397591</v>
      </c>
      <c r="JT3" s="156">
        <f t="shared" si="12"/>
        <v>24737</v>
      </c>
      <c r="JU3" s="156">
        <f t="shared" si="12"/>
        <v>-6171</v>
      </c>
      <c r="JV3" s="156">
        <f>KA3</f>
        <v>2011921</v>
      </c>
      <c r="JW3" s="157"/>
      <c r="JX3" s="156">
        <v>384093</v>
      </c>
      <c r="JY3" s="156">
        <v>-29453</v>
      </c>
      <c r="JZ3" s="156">
        <v>-59645</v>
      </c>
      <c r="KA3" s="156">
        <v>2011921</v>
      </c>
      <c r="KB3" s="157"/>
      <c r="KC3" s="156">
        <v>1311143</v>
      </c>
      <c r="KD3" s="156">
        <v>-82130</v>
      </c>
      <c r="KE3" s="156">
        <v>-205163</v>
      </c>
      <c r="KF3" s="156">
        <v>2069263</v>
      </c>
      <c r="KG3" s="157"/>
      <c r="KH3" s="156">
        <v>423619</v>
      </c>
      <c r="KI3" s="156">
        <v>54528</v>
      </c>
      <c r="KJ3" s="156">
        <v>23540</v>
      </c>
      <c r="KK3" s="156">
        <v>2069263</v>
      </c>
      <c r="KL3" s="157"/>
      <c r="KM3" s="156">
        <v>887524</v>
      </c>
      <c r="KN3" s="156">
        <v>-136658</v>
      </c>
      <c r="KO3" s="156">
        <v>-228703</v>
      </c>
      <c r="KP3" s="156">
        <v>1949034</v>
      </c>
      <c r="KQ3" s="157"/>
      <c r="KR3" s="156">
        <v>375392</v>
      </c>
      <c r="KS3" s="156">
        <v>32590</v>
      </c>
      <c r="KT3" s="156">
        <v>1833</v>
      </c>
      <c r="KU3" s="156">
        <v>1949034</v>
      </c>
      <c r="KV3" s="157"/>
      <c r="KW3" s="156">
        <v>512132</v>
      </c>
      <c r="KX3" s="156">
        <v>-169248</v>
      </c>
      <c r="KY3" s="156">
        <v>-230536</v>
      </c>
      <c r="KZ3" s="156">
        <v>1954277</v>
      </c>
      <c r="LA3" s="157"/>
      <c r="LB3" s="156">
        <v>257978</v>
      </c>
      <c r="LC3" s="156">
        <v>-104490</v>
      </c>
      <c r="LD3" s="156">
        <v>-127029</v>
      </c>
      <c r="LE3" s="156">
        <v>1954277</v>
      </c>
      <c r="LF3" s="157"/>
      <c r="LG3" s="156">
        <v>254154</v>
      </c>
      <c r="LH3" s="156">
        <v>-64758</v>
      </c>
      <c r="LI3" s="156">
        <v>-103507</v>
      </c>
      <c r="LJ3" s="156">
        <v>1952787</v>
      </c>
      <c r="LK3" s="157"/>
      <c r="LL3" s="156">
        <v>1205944</v>
      </c>
      <c r="LM3" s="156">
        <v>9137</v>
      </c>
      <c r="LN3" s="156">
        <v>-104328</v>
      </c>
      <c r="LO3" s="156">
        <v>1657407</v>
      </c>
      <c r="LP3" s="163"/>
      <c r="LQ3" s="156">
        <v>331130</v>
      </c>
      <c r="LR3" s="156">
        <v>32369</v>
      </c>
      <c r="LS3" s="156">
        <v>3251</v>
      </c>
      <c r="LT3" s="156">
        <v>1657407</v>
      </c>
      <c r="LU3" s="163"/>
      <c r="LV3" s="156">
        <v>874814</v>
      </c>
      <c r="LW3" s="156">
        <v>-23232</v>
      </c>
      <c r="LX3" s="156">
        <v>-107579</v>
      </c>
      <c r="LY3" s="156">
        <v>1691191</v>
      </c>
      <c r="LZ3" s="157"/>
      <c r="MA3" s="156">
        <v>332863</v>
      </c>
      <c r="MB3" s="156">
        <v>134670</v>
      </c>
      <c r="MC3" s="156">
        <v>106686</v>
      </c>
      <c r="MD3" s="156">
        <v>1691191</v>
      </c>
      <c r="ME3" s="157"/>
      <c r="MF3" s="156">
        <v>541951</v>
      </c>
      <c r="MG3" s="156">
        <v>-157903</v>
      </c>
      <c r="MH3" s="156">
        <v>-214265</v>
      </c>
      <c r="MI3" s="156">
        <v>1728184</v>
      </c>
      <c r="MJ3" s="157"/>
      <c r="MK3" s="156">
        <v>273192</v>
      </c>
      <c r="ML3" s="156">
        <v>-113717</v>
      </c>
      <c r="MM3" s="156">
        <v>-142220</v>
      </c>
      <c r="MN3" s="156">
        <v>1728184</v>
      </c>
      <c r="MO3" s="157"/>
      <c r="MP3" s="156">
        <v>268759</v>
      </c>
      <c r="MQ3" s="156">
        <v>-44186</v>
      </c>
      <c r="MR3" s="156">
        <v>-72045</v>
      </c>
      <c r="MS3" s="156">
        <v>1773973</v>
      </c>
      <c r="MT3" s="157"/>
      <c r="MU3" s="164" t="s">
        <v>81</v>
      </c>
      <c r="MV3" s="162">
        <v>1194024</v>
      </c>
      <c r="MW3" s="162">
        <v>98412</v>
      </c>
      <c r="MX3" s="162">
        <v>-6829</v>
      </c>
      <c r="MY3" s="162">
        <v>1742510</v>
      </c>
      <c r="MZ3" s="157"/>
      <c r="NA3" s="162">
        <v>870843</v>
      </c>
      <c r="NB3" s="162">
        <v>83480</v>
      </c>
      <c r="NC3" s="162">
        <v>5347</v>
      </c>
      <c r="ND3" s="162">
        <v>1666780</v>
      </c>
      <c r="NE3" s="157"/>
      <c r="NF3" s="162">
        <v>529412</v>
      </c>
      <c r="NG3" s="162">
        <v>28174</v>
      </c>
      <c r="NH3" s="162">
        <v>-23785</v>
      </c>
      <c r="NI3" s="162">
        <v>1640587</v>
      </c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  <c r="NY3" s="157"/>
      <c r="NZ3" s="157"/>
      <c r="OA3" s="157"/>
      <c r="OB3" s="157"/>
      <c r="OC3" s="157"/>
      <c r="OD3" s="157"/>
      <c r="OE3" s="157"/>
      <c r="OF3" s="157"/>
      <c r="OG3" s="157"/>
      <c r="OH3" s="157"/>
      <c r="OI3" s="157"/>
      <c r="OJ3" s="157"/>
      <c r="OK3" s="157"/>
      <c r="OL3" s="157"/>
      <c r="OM3" s="157"/>
      <c r="ON3" s="157"/>
      <c r="OO3" s="157"/>
      <c r="OP3" s="157"/>
      <c r="OQ3" s="157"/>
      <c r="OR3" s="157"/>
      <c r="OS3" s="157"/>
      <c r="OT3" s="157"/>
      <c r="OU3" s="157"/>
      <c r="OV3" s="157"/>
      <c r="OW3" s="157"/>
      <c r="OX3" s="157"/>
      <c r="OY3" s="157"/>
      <c r="OZ3" s="157"/>
      <c r="PA3" s="157"/>
    </row>
    <row r="4" spans="1:417">
      <c r="A4" s="466" t="s">
        <v>582</v>
      </c>
      <c r="C4" s="686">
        <f>([3]segmenty!$B$9)*1000</f>
        <v>2220000</v>
      </c>
      <c r="D4" s="686">
        <f>([3]segmenty!$B$34)*1000</f>
        <v>295000</v>
      </c>
      <c r="E4" s="686">
        <f>([3]segmenty!$B$31)*1000</f>
        <v>242000</v>
      </c>
      <c r="F4" s="686">
        <f>([3]segmenty!$B$25)*1000</f>
        <v>4553000</v>
      </c>
      <c r="H4" s="686">
        <f>[4]segmenty!$B$9*1000</f>
        <v>8215000</v>
      </c>
      <c r="I4" s="686">
        <f>[4]segmenty!$B$34*1000</f>
        <v>746000</v>
      </c>
      <c r="J4" s="686">
        <f>[4]segmenty!$B$31*1000</f>
        <v>-1046000</v>
      </c>
      <c r="K4" s="686">
        <f>[4]segmenty!$B$25*1000</f>
        <v>4305000</v>
      </c>
      <c r="M4" s="686">
        <f>H4-R4</f>
        <v>2562000</v>
      </c>
      <c r="N4" s="686">
        <f t="shared" ref="N4:O11" si="13">I4-S4</f>
        <v>437000</v>
      </c>
      <c r="O4" s="686">
        <f t="shared" si="13"/>
        <v>328000</v>
      </c>
      <c r="P4" s="686">
        <f t="shared" ref="P4:P9" si="14">K4</f>
        <v>4305000</v>
      </c>
      <c r="R4" s="686">
        <f>([5]segmenty!$B$9)*1000</f>
        <v>5653000</v>
      </c>
      <c r="S4" s="686">
        <f>([5]segmenty!$B$34)*1000</f>
        <v>309000</v>
      </c>
      <c r="T4" s="686">
        <f>([5]segmenty!$B$31)*1000</f>
        <v>-1374000</v>
      </c>
      <c r="U4" s="686">
        <f>([5]segmenty!$B$25)*1000</f>
        <v>4907000</v>
      </c>
      <c r="W4" s="686">
        <f>('[5]segmenty 3 m-ce'!$B$69)*1000</f>
        <v>1870000</v>
      </c>
      <c r="X4" s="686">
        <f>('[5]segmenty 3 m-ce'!$B$84)*1000</f>
        <v>153000</v>
      </c>
      <c r="Y4" s="686">
        <f>('[5]segmenty 3 m-ce'!$B$81)*1000</f>
        <v>120000</v>
      </c>
      <c r="Z4" s="686">
        <f t="shared" ref="Z4:Z9" si="15">U4</f>
        <v>4907000</v>
      </c>
      <c r="AB4" s="686">
        <v>3783000</v>
      </c>
      <c r="AC4" s="686">
        <v>156000</v>
      </c>
      <c r="AD4" s="686">
        <v>-1494000</v>
      </c>
      <c r="AE4" s="686">
        <v>5036000</v>
      </c>
      <c r="AG4" s="686">
        <v>1615000</v>
      </c>
      <c r="AH4" s="686">
        <v>-9000</v>
      </c>
      <c r="AI4" s="686">
        <v>-1596000</v>
      </c>
      <c r="AJ4" s="686">
        <f t="shared" ref="AJ4:AJ9" si="16">AE4</f>
        <v>5036000</v>
      </c>
      <c r="AL4" s="686">
        <v>2168000</v>
      </c>
      <c r="AM4" s="686">
        <v>165000</v>
      </c>
      <c r="AN4" s="686">
        <v>102000</v>
      </c>
      <c r="AO4" s="686">
        <f>[6]segmenty!$B$25*1000</f>
        <v>9914000</v>
      </c>
      <c r="AQ4" s="686">
        <f>([7]segmenty!$B$9)*1000</f>
        <v>13325000</v>
      </c>
      <c r="AR4" s="686">
        <f>([7]segmenty!$B$34)*1000</f>
        <v>1377000</v>
      </c>
      <c r="AS4" s="686">
        <f>([7]segmenty!$B$31)*1000</f>
        <v>347000</v>
      </c>
      <c r="AT4" s="686">
        <f>([7]segmenty!$B$25)*1000</f>
        <v>10023000</v>
      </c>
      <c r="AV4" s="686">
        <f t="shared" ref="AV4:AX9" si="17">AQ4-BA4</f>
        <v>3811000</v>
      </c>
      <c r="AW4" s="686">
        <f t="shared" si="17"/>
        <v>292000</v>
      </c>
      <c r="AX4" s="686">
        <f t="shared" si="17"/>
        <v>-388000</v>
      </c>
      <c r="AY4" s="686">
        <f t="shared" ref="AY4:AY9" si="18">AT4</f>
        <v>10023000</v>
      </c>
      <c r="BA4" s="686">
        <f>([8]segmenty!$B$9)*1000</f>
        <v>9514000</v>
      </c>
      <c r="BB4" s="686">
        <f>([8]segmenty!$B$34)*1000</f>
        <v>1085000</v>
      </c>
      <c r="BC4" s="686">
        <f>([8]segmenty!$B$31)*1000</f>
        <v>735000</v>
      </c>
      <c r="BD4" s="686">
        <f>([8]segmenty!$B$25)*1000</f>
        <v>10231000</v>
      </c>
      <c r="BF4" s="686">
        <f>('[8]segmenty 3 m-ce PREZ'!$B$9)*1000</f>
        <v>2646000</v>
      </c>
      <c r="BG4" s="686">
        <f>('[8]segmenty 3 m-ce PREZ'!$B$16)*1000</f>
        <v>128000</v>
      </c>
      <c r="BH4" s="686">
        <f>('[8]segmenty 3 m-ce PREZ'!$B$12)*1000</f>
        <v>9000</v>
      </c>
      <c r="BI4" s="686">
        <f t="shared" ref="BI4:BI9" si="19">BD4</f>
        <v>10231000</v>
      </c>
      <c r="BK4" s="686">
        <f>[9]segmenty!$B$9*1000</f>
        <v>6868000</v>
      </c>
      <c r="BL4" s="686">
        <f>[9]segmenty!$B$34*1000</f>
        <v>957000</v>
      </c>
      <c r="BM4" s="686">
        <f>[9]segmenty!$B$31*1000</f>
        <v>726000</v>
      </c>
      <c r="BN4" s="686">
        <f>[9]segmenty!$B$25*1000</f>
        <v>10370000</v>
      </c>
      <c r="BP4" s="686">
        <f>('[9]segmenty 3 m-ce'!$B$69)*1000</f>
        <v>2838000</v>
      </c>
      <c r="BQ4" s="686">
        <f>('[9]segmenty 3 m-ce'!$B$84)*1000</f>
        <v>499000</v>
      </c>
      <c r="BR4" s="686">
        <f>('[9]segmenty 3 m-ce'!$B$81)*1000</f>
        <v>380000</v>
      </c>
      <c r="BS4" s="686">
        <f t="shared" ref="BS4:BS9" si="20">BN4</f>
        <v>10370000</v>
      </c>
      <c r="BU4" s="686">
        <f>[10]segmenty!$B$9*1000</f>
        <v>4030000</v>
      </c>
      <c r="BV4" s="686">
        <f>[10]segmenty!$B$34*1000</f>
        <v>458000</v>
      </c>
      <c r="BW4" s="686">
        <f>[10]segmenty!$B$31*1000</f>
        <v>346000</v>
      </c>
      <c r="BX4" s="686">
        <f>[10]segmenty!$B$25*1000</f>
        <v>10625000</v>
      </c>
      <c r="BZ4" s="686">
        <f t="shared" ref="BZ4:CB9" si="21">CE4-CO4</f>
        <v>3454000</v>
      </c>
      <c r="CA4" s="686">
        <f t="shared" si="21"/>
        <v>-111000</v>
      </c>
      <c r="CB4" s="686">
        <f t="shared" si="21"/>
        <v>-304000</v>
      </c>
      <c r="CC4" s="686">
        <f t="shared" ref="CC4:CC10" si="22">CH4</f>
        <v>10157000</v>
      </c>
      <c r="CE4" s="686">
        <v>11126000</v>
      </c>
      <c r="CF4" s="686">
        <v>-779000</v>
      </c>
      <c r="CG4" s="686">
        <v>-1307000</v>
      </c>
      <c r="CH4" s="686">
        <v>10157000</v>
      </c>
      <c r="CJ4" s="467">
        <v>2253000</v>
      </c>
      <c r="CK4" s="467">
        <v>-638000</v>
      </c>
      <c r="CL4" s="467">
        <v>-751000</v>
      </c>
      <c r="CM4" s="467">
        <f t="shared" si="0"/>
        <v>8802000</v>
      </c>
      <c r="CO4" s="467">
        <v>7672000</v>
      </c>
      <c r="CP4" s="467">
        <v>-668000</v>
      </c>
      <c r="CQ4" s="467">
        <v>-1003000</v>
      </c>
      <c r="CR4" s="467">
        <v>8802000</v>
      </c>
      <c r="CT4" s="467">
        <f t="shared" si="1"/>
        <v>2363000</v>
      </c>
      <c r="CU4" s="467">
        <f t="shared" si="1"/>
        <v>-925000</v>
      </c>
      <c r="CV4" s="467">
        <f t="shared" si="1"/>
        <v>-1038000</v>
      </c>
      <c r="CW4" s="467">
        <v>8440000</v>
      </c>
      <c r="CY4" s="467">
        <v>5419000</v>
      </c>
      <c r="CZ4" s="467">
        <v>-30000</v>
      </c>
      <c r="DA4" s="467">
        <v>-252000</v>
      </c>
      <c r="DB4" s="467">
        <v>8440000</v>
      </c>
      <c r="DD4" s="467">
        <v>3056000</v>
      </c>
      <c r="DE4" s="467">
        <v>895000</v>
      </c>
      <c r="DF4" s="467">
        <v>786000</v>
      </c>
      <c r="DG4" s="467">
        <v>9122000</v>
      </c>
      <c r="DI4" s="467">
        <f t="shared" si="2"/>
        <v>3400888</v>
      </c>
      <c r="DJ4" s="467">
        <f t="shared" si="2"/>
        <v>56825</v>
      </c>
      <c r="DK4" s="467">
        <f t="shared" si="2"/>
        <v>-70423</v>
      </c>
      <c r="DL4" s="467">
        <f t="shared" si="3"/>
        <v>8849000</v>
      </c>
      <c r="DN4" s="467">
        <v>9819000</v>
      </c>
      <c r="DO4" s="467">
        <v>1375000</v>
      </c>
      <c r="DP4" s="467">
        <v>-25000</v>
      </c>
      <c r="DQ4" s="467">
        <v>8849000</v>
      </c>
      <c r="DS4" s="467">
        <f t="shared" si="4"/>
        <v>2359143</v>
      </c>
      <c r="DT4" s="467">
        <f t="shared" si="4"/>
        <v>309951</v>
      </c>
      <c r="DU4" s="467">
        <f t="shared" si="4"/>
        <v>204422</v>
      </c>
      <c r="DV4" s="467">
        <f t="shared" si="5"/>
        <v>8743263</v>
      </c>
      <c r="DX4" s="467">
        <v>6418112</v>
      </c>
      <c r="DY4" s="467">
        <v>1318175</v>
      </c>
      <c r="DZ4" s="467">
        <v>45423</v>
      </c>
      <c r="EA4" s="467">
        <v>8743263</v>
      </c>
      <c r="EC4" s="467">
        <f t="shared" si="6"/>
        <v>1750959</v>
      </c>
      <c r="ED4" s="467">
        <f t="shared" si="6"/>
        <v>321880</v>
      </c>
      <c r="EE4" s="467">
        <f t="shared" si="6"/>
        <v>-729303</v>
      </c>
      <c r="EF4" s="467">
        <f t="shared" si="7"/>
        <v>8695096</v>
      </c>
      <c r="EH4" s="467">
        <v>4058969</v>
      </c>
      <c r="EI4" s="467">
        <v>1008224</v>
      </c>
      <c r="EJ4" s="467">
        <v>-158999</v>
      </c>
      <c r="EK4" s="467">
        <v>8695096</v>
      </c>
      <c r="EM4" s="467">
        <v>2308010</v>
      </c>
      <c r="EN4" s="467">
        <v>686344</v>
      </c>
      <c r="EO4" s="467">
        <v>570304</v>
      </c>
      <c r="EP4" s="467">
        <v>10797611</v>
      </c>
      <c r="ER4" s="467">
        <f t="shared" si="8"/>
        <v>1154789</v>
      </c>
      <c r="ES4" s="467">
        <f t="shared" si="8"/>
        <v>124331</v>
      </c>
      <c r="ET4" s="467">
        <f t="shared" si="8"/>
        <v>-2513004</v>
      </c>
      <c r="EU4" s="467">
        <f t="shared" si="9"/>
        <v>8070552</v>
      </c>
      <c r="EW4" s="467">
        <v>3493387</v>
      </c>
      <c r="EX4" s="467">
        <v>172145</v>
      </c>
      <c r="EY4" s="467">
        <v>-2712856</v>
      </c>
      <c r="EZ4" s="467">
        <v>8070552</v>
      </c>
      <c r="FB4" s="467">
        <v>786272</v>
      </c>
      <c r="FC4" s="467">
        <v>21576</v>
      </c>
      <c r="FD4" s="467">
        <v>-44374</v>
      </c>
      <c r="FE4" s="467">
        <f t="shared" si="10"/>
        <v>10026762</v>
      </c>
      <c r="FG4" s="467">
        <v>2338598</v>
      </c>
      <c r="FH4" s="467">
        <v>47814</v>
      </c>
      <c r="FI4" s="467">
        <v>-199852</v>
      </c>
      <c r="FJ4" s="467">
        <v>10026762</v>
      </c>
      <c r="FL4" s="467">
        <f t="shared" si="11"/>
        <v>744938</v>
      </c>
      <c r="FM4" s="468">
        <f t="shared" si="11"/>
        <v>28445</v>
      </c>
      <c r="FN4" s="467">
        <f t="shared" si="11"/>
        <v>-102731</v>
      </c>
      <c r="FO4" s="467">
        <v>9827110</v>
      </c>
      <c r="FQ4" s="467">
        <v>1552326</v>
      </c>
      <c r="FR4" s="468">
        <v>26238</v>
      </c>
      <c r="FS4" s="467">
        <v>-155478</v>
      </c>
      <c r="FT4" s="467">
        <v>9827110</v>
      </c>
      <c r="FV4" s="467">
        <v>807388</v>
      </c>
      <c r="FW4" s="468">
        <v>-2207</v>
      </c>
      <c r="FX4" s="467">
        <v>-52747</v>
      </c>
      <c r="FY4" s="467">
        <v>12620365</v>
      </c>
      <c r="FZ4" s="5"/>
      <c r="GA4" s="341">
        <v>4923281</v>
      </c>
      <c r="GB4" s="342">
        <v>984239</v>
      </c>
      <c r="GC4" s="341">
        <v>-129097</v>
      </c>
      <c r="GD4" s="341">
        <v>15212283</v>
      </c>
      <c r="GF4" s="341">
        <v>1288405</v>
      </c>
      <c r="GG4" s="342">
        <v>318715</v>
      </c>
      <c r="GH4" s="341">
        <v>-468693</v>
      </c>
      <c r="GI4" s="341">
        <v>15212283</v>
      </c>
      <c r="GK4" s="341">
        <v>3634876</v>
      </c>
      <c r="GL4" s="342">
        <v>665524</v>
      </c>
      <c r="GM4" s="341">
        <v>339596</v>
      </c>
      <c r="GN4" s="341">
        <v>14413311</v>
      </c>
      <c r="GP4" s="341">
        <v>1088602</v>
      </c>
      <c r="GQ4" s="342">
        <v>126492</v>
      </c>
      <c r="GR4" s="341">
        <v>14606</v>
      </c>
      <c r="GS4" s="341">
        <v>14413311</v>
      </c>
      <c r="GV4" s="341">
        <v>2546274</v>
      </c>
      <c r="GW4" s="342">
        <v>539032</v>
      </c>
      <c r="GX4" s="341">
        <v>324990</v>
      </c>
      <c r="GY4" s="341">
        <v>13002265</v>
      </c>
      <c r="HA4" s="341">
        <v>1157326</v>
      </c>
      <c r="HB4" s="342">
        <v>152365</v>
      </c>
      <c r="HC4" s="341">
        <v>44662</v>
      </c>
      <c r="HD4" s="341">
        <v>13002265</v>
      </c>
      <c r="HF4" s="341">
        <v>1388948</v>
      </c>
      <c r="HG4" s="342">
        <v>386667</v>
      </c>
      <c r="HH4" s="341">
        <v>280328</v>
      </c>
      <c r="HI4" s="341">
        <v>13012934</v>
      </c>
      <c r="HK4" s="341">
        <v>4638494</v>
      </c>
      <c r="HL4" s="341">
        <v>731372</v>
      </c>
      <c r="HM4" s="341">
        <v>196658</v>
      </c>
      <c r="HN4" s="341">
        <v>12712861</v>
      </c>
      <c r="HP4" s="341">
        <v>1369745</v>
      </c>
      <c r="HQ4" s="342">
        <v>82432</v>
      </c>
      <c r="HR4" s="341">
        <v>-494471</v>
      </c>
      <c r="HS4" s="341">
        <v>12712861</v>
      </c>
      <c r="HU4" s="341">
        <v>3268749</v>
      </c>
      <c r="HV4" s="342">
        <v>648940</v>
      </c>
      <c r="HW4" s="341">
        <v>691129</v>
      </c>
      <c r="HX4" s="341">
        <v>12406932</v>
      </c>
      <c r="HZ4" s="341">
        <v>1149397</v>
      </c>
      <c r="IA4" s="342">
        <v>57190</v>
      </c>
      <c r="IB4" s="341">
        <v>-49720</v>
      </c>
      <c r="IC4" s="341">
        <v>12406932</v>
      </c>
      <c r="IE4" s="166">
        <v>2119352</v>
      </c>
      <c r="IF4" s="319">
        <v>591750</v>
      </c>
      <c r="IG4" s="166">
        <v>740849</v>
      </c>
      <c r="IH4" s="166">
        <v>12218655</v>
      </c>
      <c r="IJ4" s="166">
        <v>947169</v>
      </c>
      <c r="IK4" s="319">
        <v>126438</v>
      </c>
      <c r="IL4" s="166">
        <v>369183</v>
      </c>
      <c r="IM4" s="166">
        <v>12218655</v>
      </c>
      <c r="IO4" s="156">
        <v>1172183</v>
      </c>
      <c r="IP4" s="183">
        <v>465312</v>
      </c>
      <c r="IQ4" s="156">
        <v>371666</v>
      </c>
      <c r="IR4" s="156">
        <v>11762964</v>
      </c>
      <c r="IT4" s="156">
        <v>4528480</v>
      </c>
      <c r="IU4" s="156">
        <v>463974</v>
      </c>
      <c r="IV4" s="156">
        <v>16595</v>
      </c>
      <c r="IW4" s="156">
        <v>11802461</v>
      </c>
      <c r="IY4" s="156">
        <v>1203648</v>
      </c>
      <c r="IZ4" s="183">
        <v>77580</v>
      </c>
      <c r="JA4" s="156">
        <v>-27589</v>
      </c>
      <c r="JB4" s="156">
        <v>11802461</v>
      </c>
      <c r="JC4" s="157"/>
      <c r="JD4" s="156">
        <v>3324832</v>
      </c>
      <c r="JE4" s="156">
        <v>386394</v>
      </c>
      <c r="JF4" s="156">
        <v>44184</v>
      </c>
      <c r="JG4" s="156">
        <v>10725845</v>
      </c>
      <c r="JH4" s="156"/>
      <c r="JI4" s="156">
        <v>1042661</v>
      </c>
      <c r="JJ4" s="156">
        <v>79923</v>
      </c>
      <c r="JK4" s="156">
        <v>-36258</v>
      </c>
      <c r="JL4" s="156">
        <v>10725845</v>
      </c>
      <c r="JM4" s="157"/>
      <c r="JN4" s="156">
        <v>2282171</v>
      </c>
      <c r="JO4" s="156">
        <v>306471</v>
      </c>
      <c r="JP4" s="156">
        <v>80442</v>
      </c>
      <c r="JQ4" s="156">
        <v>10994483</v>
      </c>
      <c r="JR4" s="157"/>
      <c r="JS4" s="156">
        <f t="shared" si="12"/>
        <v>1063014</v>
      </c>
      <c r="JT4" s="156">
        <f t="shared" si="12"/>
        <v>115805</v>
      </c>
      <c r="JU4" s="156">
        <f t="shared" si="12"/>
        <v>-11816</v>
      </c>
      <c r="JV4" s="156">
        <f>KA4</f>
        <v>10794713</v>
      </c>
      <c r="JW4" s="157"/>
      <c r="JX4" s="156">
        <v>1219157</v>
      </c>
      <c r="JY4" s="156">
        <v>190666</v>
      </c>
      <c r="JZ4" s="156">
        <v>92258</v>
      </c>
      <c r="KA4" s="156">
        <v>10794713</v>
      </c>
      <c r="KB4" s="157"/>
      <c r="KC4" s="156">
        <v>4356101</v>
      </c>
      <c r="KD4" s="156">
        <v>545311</v>
      </c>
      <c r="KE4" s="156">
        <v>-752813</v>
      </c>
      <c r="KF4" s="156">
        <v>10874288</v>
      </c>
      <c r="KG4" s="157"/>
      <c r="KH4" s="156">
        <v>1112410</v>
      </c>
      <c r="KI4" s="156">
        <v>98202</v>
      </c>
      <c r="KJ4" s="156">
        <v>-182972</v>
      </c>
      <c r="KK4" s="156">
        <v>10874288</v>
      </c>
      <c r="KL4" s="157"/>
      <c r="KM4" s="156">
        <v>3243691</v>
      </c>
      <c r="KN4" s="156">
        <v>447109</v>
      </c>
      <c r="KO4" s="156">
        <v>-569841</v>
      </c>
      <c r="KP4" s="156">
        <v>10429522</v>
      </c>
      <c r="KQ4" s="157"/>
      <c r="KR4" s="156">
        <v>901057</v>
      </c>
      <c r="KS4" s="156">
        <v>93148</v>
      </c>
      <c r="KT4" s="156">
        <v>-11530</v>
      </c>
      <c r="KU4" s="156">
        <v>10429522</v>
      </c>
      <c r="KV4" s="157"/>
      <c r="KW4" s="156">
        <v>2342634</v>
      </c>
      <c r="KX4" s="156">
        <v>353961</v>
      </c>
      <c r="KY4" s="156">
        <v>-558311</v>
      </c>
      <c r="KZ4" s="156">
        <v>10151833</v>
      </c>
      <c r="LA4" s="157"/>
      <c r="LB4" s="156">
        <v>1070810</v>
      </c>
      <c r="LC4" s="156">
        <v>162812</v>
      </c>
      <c r="LD4" s="156">
        <v>-647533</v>
      </c>
      <c r="LE4" s="156">
        <v>10151833</v>
      </c>
      <c r="LF4" s="157"/>
      <c r="LG4" s="156">
        <v>1271824</v>
      </c>
      <c r="LH4" s="156">
        <v>191149</v>
      </c>
      <c r="LI4" s="156">
        <v>89222</v>
      </c>
      <c r="LJ4" s="156">
        <v>10775702</v>
      </c>
      <c r="LK4" s="157"/>
      <c r="LL4" s="156">
        <v>5376280</v>
      </c>
      <c r="LM4" s="156">
        <v>754751</v>
      </c>
      <c r="LN4" s="156">
        <v>-3477076</v>
      </c>
      <c r="LO4" s="156">
        <v>10788413</v>
      </c>
      <c r="LP4" s="163"/>
      <c r="LQ4" s="156">
        <v>1464821</v>
      </c>
      <c r="LR4" s="156">
        <v>190712</v>
      </c>
      <c r="LS4" s="156">
        <v>-3607565</v>
      </c>
      <c r="LT4" s="156">
        <v>10788413</v>
      </c>
      <c r="LU4" s="163"/>
      <c r="LV4" s="156">
        <v>3911459</v>
      </c>
      <c r="LW4" s="156">
        <v>564039</v>
      </c>
      <c r="LX4" s="156">
        <v>130489</v>
      </c>
      <c r="LY4" s="156">
        <v>13965188</v>
      </c>
      <c r="LZ4" s="157"/>
      <c r="MA4" s="156">
        <v>1164371</v>
      </c>
      <c r="MB4" s="156">
        <v>97637</v>
      </c>
      <c r="MC4" s="156">
        <v>-51447</v>
      </c>
      <c r="MD4" s="156">
        <v>13965188</v>
      </c>
      <c r="ME4" s="157"/>
      <c r="MF4" s="156">
        <v>2674765</v>
      </c>
      <c r="MG4" s="156">
        <v>472911</v>
      </c>
      <c r="MH4" s="156">
        <v>181936</v>
      </c>
      <c r="MI4" s="156">
        <v>13605284</v>
      </c>
      <c r="MJ4" s="157"/>
      <c r="MK4" s="156">
        <v>1147664</v>
      </c>
      <c r="ML4" s="156">
        <v>188570</v>
      </c>
      <c r="MM4" s="156">
        <v>44376</v>
      </c>
      <c r="MN4" s="156">
        <v>13605284</v>
      </c>
      <c r="MO4" s="157"/>
      <c r="MP4" s="156">
        <v>1527101</v>
      </c>
      <c r="MQ4" s="156">
        <v>284341</v>
      </c>
      <c r="MR4" s="156">
        <v>137560</v>
      </c>
      <c r="MS4" s="156">
        <v>13386310</v>
      </c>
      <c r="MT4" s="157"/>
      <c r="MU4" s="163" t="s">
        <v>82</v>
      </c>
      <c r="MV4" s="156">
        <v>3218162</v>
      </c>
      <c r="MW4" s="156">
        <v>251838</v>
      </c>
      <c r="MX4" s="156">
        <v>-189247</v>
      </c>
      <c r="MY4" s="180">
        <v>8393127</v>
      </c>
      <c r="MZ4" s="157"/>
      <c r="NA4" s="156">
        <v>2304778</v>
      </c>
      <c r="NB4" s="156">
        <v>200144</v>
      </c>
      <c r="NC4" s="156">
        <v>-154254</v>
      </c>
      <c r="ND4" s="180">
        <v>7636136</v>
      </c>
      <c r="NE4" s="157"/>
      <c r="NF4" s="156">
        <v>1472664</v>
      </c>
      <c r="NG4" s="156">
        <v>126991</v>
      </c>
      <c r="NH4" s="156">
        <v>-110708</v>
      </c>
      <c r="NI4" s="180">
        <v>7741435</v>
      </c>
      <c r="NJ4" s="157"/>
      <c r="NK4" s="157"/>
      <c r="NL4" s="157"/>
      <c r="NM4" s="157"/>
      <c r="NN4" s="157"/>
      <c r="NO4" s="157"/>
      <c r="NP4" s="157"/>
      <c r="NQ4" s="157"/>
      <c r="NR4" s="157"/>
      <c r="NS4" s="157"/>
      <c r="NT4" s="157"/>
      <c r="NU4" s="157"/>
      <c r="NV4" s="157"/>
      <c r="NW4" s="157"/>
      <c r="NX4" s="157"/>
      <c r="NY4" s="157"/>
      <c r="NZ4" s="157"/>
      <c r="OA4" s="157"/>
      <c r="OB4" s="157"/>
      <c r="OC4" s="157"/>
      <c r="OD4" s="157"/>
      <c r="OE4" s="157"/>
      <c r="OF4" s="157"/>
      <c r="OG4" s="157"/>
      <c r="OH4" s="157"/>
      <c r="OI4" s="157"/>
      <c r="OJ4" s="157"/>
      <c r="OK4" s="157"/>
      <c r="OL4" s="157"/>
      <c r="OM4" s="157"/>
      <c r="ON4" s="157"/>
      <c r="OO4" s="157"/>
      <c r="OP4" s="157"/>
      <c r="OQ4" s="157"/>
      <c r="OR4" s="157"/>
      <c r="OS4" s="157"/>
      <c r="OT4" s="157"/>
      <c r="OU4" s="157"/>
      <c r="OV4" s="157"/>
      <c r="OW4" s="157"/>
      <c r="OX4" s="157"/>
      <c r="OY4" s="157"/>
      <c r="OZ4" s="157"/>
      <c r="PA4" s="157"/>
    </row>
    <row r="5" spans="1:417">
      <c r="A5" s="466" t="s">
        <v>25</v>
      </c>
      <c r="C5" s="686">
        <f>([3]segmenty!$C$9)*1000</f>
        <v>813000</v>
      </c>
      <c r="D5" s="686">
        <f>([3]segmenty!$C$34)*1000</f>
        <v>123000</v>
      </c>
      <c r="E5" s="686">
        <f>([3]segmenty!$C$31)*1000</f>
        <v>90000</v>
      </c>
      <c r="F5" s="686">
        <f>([3]segmenty!$C$25)*1000</f>
        <v>2703000</v>
      </c>
      <c r="H5" s="686">
        <f>[4]segmenty!$C$9*1000</f>
        <v>2193000</v>
      </c>
      <c r="I5" s="686">
        <f>[4]segmenty!$C$34*1000</f>
        <v>302000</v>
      </c>
      <c r="J5" s="686">
        <f>[4]segmenty!$C$31*1000</f>
        <v>161000</v>
      </c>
      <c r="K5" s="686">
        <f>[4]segmenty!$C$25*1000</f>
        <v>2768000</v>
      </c>
      <c r="M5" s="686">
        <f t="shared" ref="M5:M11" si="23">H5-R5</f>
        <v>799000</v>
      </c>
      <c r="N5" s="686">
        <f t="shared" si="13"/>
        <v>79000</v>
      </c>
      <c r="O5" s="686">
        <f t="shared" si="13"/>
        <v>165000</v>
      </c>
      <c r="P5" s="686">
        <f t="shared" si="14"/>
        <v>2768000</v>
      </c>
      <c r="R5" s="686">
        <f>([5]segmenty!$C$9)*1000</f>
        <v>1394000</v>
      </c>
      <c r="S5" s="686">
        <f>([5]segmenty!$C$34)*1000</f>
        <v>223000</v>
      </c>
      <c r="T5" s="686">
        <f>([5]segmenty!$C$31)*1000</f>
        <v>-4000</v>
      </c>
      <c r="U5" s="686">
        <f>([5]segmenty!$C$25)*1000</f>
        <v>2586000</v>
      </c>
      <c r="W5" s="686">
        <f>('[5]segmenty 3 m-ce'!$C$69)*1000</f>
        <v>247000</v>
      </c>
      <c r="X5" s="686">
        <f>('[5]segmenty 3 m-ce'!$C$84)*1000</f>
        <v>57000</v>
      </c>
      <c r="Y5" s="686">
        <f>('[5]segmenty 3 m-ce'!$C$81)*1000</f>
        <v>31000</v>
      </c>
      <c r="Z5" s="686">
        <f t="shared" si="15"/>
        <v>2586000</v>
      </c>
      <c r="AB5" s="686">
        <v>1147000</v>
      </c>
      <c r="AC5" s="686">
        <v>166000</v>
      </c>
      <c r="AD5" s="686">
        <v>-35000</v>
      </c>
      <c r="AE5" s="686">
        <v>2441000</v>
      </c>
      <c r="AG5" s="686">
        <v>337000</v>
      </c>
      <c r="AH5" s="686">
        <v>31000</v>
      </c>
      <c r="AI5" s="686">
        <v>-138000</v>
      </c>
      <c r="AJ5" s="686">
        <f t="shared" si="16"/>
        <v>2441000</v>
      </c>
      <c r="AL5" s="686">
        <v>810000</v>
      </c>
      <c r="AM5" s="686">
        <v>135000</v>
      </c>
      <c r="AN5" s="686">
        <v>103000</v>
      </c>
      <c r="AO5" s="686"/>
      <c r="AQ5" s="686"/>
      <c r="AR5" s="686"/>
      <c r="AS5" s="686"/>
      <c r="AT5" s="686"/>
      <c r="AV5" s="686"/>
      <c r="AW5" s="686"/>
      <c r="AX5" s="686"/>
      <c r="AY5" s="686"/>
      <c r="BA5" s="686"/>
      <c r="BB5" s="686"/>
      <c r="BC5" s="686"/>
      <c r="BD5" s="686"/>
      <c r="BF5" s="686"/>
      <c r="BG5" s="686"/>
      <c r="BH5" s="686"/>
      <c r="BI5" s="686"/>
      <c r="BK5" s="686"/>
      <c r="BL5" s="686"/>
      <c r="BM5" s="686"/>
      <c r="BN5" s="686"/>
      <c r="BP5" s="686"/>
      <c r="BQ5" s="686"/>
      <c r="BR5" s="686"/>
      <c r="BS5" s="686"/>
      <c r="BU5" s="686"/>
      <c r="BV5" s="686"/>
      <c r="BW5" s="686"/>
      <c r="BX5" s="686"/>
      <c r="BZ5" s="686"/>
      <c r="CA5" s="686"/>
      <c r="CB5" s="686"/>
      <c r="CC5" s="686"/>
      <c r="CE5" s="686"/>
      <c r="CF5" s="686"/>
      <c r="CG5" s="686"/>
      <c r="CH5" s="686"/>
      <c r="CJ5" s="467"/>
      <c r="CK5" s="467"/>
      <c r="CL5" s="467"/>
      <c r="CM5" s="467"/>
      <c r="CO5" s="467"/>
      <c r="CP5" s="467"/>
      <c r="CQ5" s="467"/>
      <c r="CR5" s="467"/>
      <c r="CT5" s="467"/>
      <c r="CU5" s="467"/>
      <c r="CV5" s="467"/>
      <c r="CW5" s="467"/>
      <c r="CY5" s="467"/>
      <c r="CZ5" s="467"/>
      <c r="DA5" s="467"/>
      <c r="DB5" s="467"/>
      <c r="DD5" s="467"/>
      <c r="DE5" s="467"/>
      <c r="DF5" s="467"/>
      <c r="DG5" s="467"/>
      <c r="DI5" s="467"/>
      <c r="DJ5" s="467"/>
      <c r="DK5" s="467"/>
      <c r="DL5" s="467"/>
      <c r="DN5" s="467"/>
      <c r="DO5" s="467"/>
      <c r="DP5" s="467"/>
      <c r="DQ5" s="467"/>
      <c r="DS5" s="467"/>
      <c r="DT5" s="467"/>
      <c r="DU5" s="467"/>
      <c r="DV5" s="467"/>
      <c r="DX5" s="467"/>
      <c r="DY5" s="467"/>
      <c r="DZ5" s="467"/>
      <c r="EA5" s="467"/>
      <c r="EC5" s="467"/>
      <c r="ED5" s="467"/>
      <c r="EE5" s="467"/>
      <c r="EF5" s="467"/>
      <c r="EH5" s="467"/>
      <c r="EI5" s="467"/>
      <c r="EJ5" s="467"/>
      <c r="EK5" s="467"/>
      <c r="EM5" s="467"/>
      <c r="EN5" s="467"/>
      <c r="EO5" s="467"/>
      <c r="EP5" s="467"/>
      <c r="ER5" s="467"/>
      <c r="ES5" s="467"/>
      <c r="ET5" s="467"/>
      <c r="EU5" s="467"/>
      <c r="EW5" s="467"/>
      <c r="EX5" s="467"/>
      <c r="EY5" s="467"/>
      <c r="EZ5" s="467"/>
      <c r="FB5" s="467"/>
      <c r="FC5" s="467"/>
      <c r="FD5" s="467"/>
      <c r="FE5" s="467"/>
      <c r="FG5" s="467"/>
      <c r="FH5" s="467"/>
      <c r="FI5" s="467"/>
      <c r="FJ5" s="467"/>
      <c r="FL5" s="467"/>
      <c r="FM5" s="468"/>
      <c r="FN5" s="467"/>
      <c r="FO5" s="467"/>
      <c r="FQ5" s="467"/>
      <c r="FR5" s="468"/>
      <c r="FS5" s="467"/>
      <c r="FT5" s="467"/>
      <c r="FV5" s="467"/>
      <c r="FW5" s="468"/>
      <c r="FX5" s="467"/>
      <c r="FY5" s="467"/>
      <c r="FZ5" s="5"/>
      <c r="GA5" s="341"/>
      <c r="GB5" s="342"/>
      <c r="GC5" s="341"/>
      <c r="GD5" s="341"/>
      <c r="GF5" s="341"/>
      <c r="GG5" s="342"/>
      <c r="GH5" s="341"/>
      <c r="GI5" s="341"/>
      <c r="GK5" s="341"/>
      <c r="GL5" s="342"/>
      <c r="GM5" s="341"/>
      <c r="GN5" s="341"/>
      <c r="GP5" s="341"/>
      <c r="GQ5" s="342"/>
      <c r="GR5" s="341"/>
      <c r="GS5" s="341"/>
      <c r="GV5" s="341"/>
      <c r="GW5" s="342"/>
      <c r="GX5" s="341"/>
      <c r="GY5" s="341"/>
      <c r="HA5" s="341"/>
      <c r="HB5" s="342"/>
      <c r="HC5" s="341"/>
      <c r="HD5" s="341"/>
      <c r="HF5" s="341"/>
      <c r="HG5" s="342"/>
      <c r="HH5" s="341"/>
      <c r="HI5" s="341"/>
      <c r="HK5" s="341"/>
      <c r="HL5" s="341"/>
      <c r="HM5" s="341"/>
      <c r="HN5" s="341"/>
      <c r="HP5" s="341"/>
      <c r="HQ5" s="342"/>
      <c r="HR5" s="341"/>
      <c r="HS5" s="341"/>
      <c r="HU5" s="341"/>
      <c r="HV5" s="342"/>
      <c r="HW5" s="341"/>
      <c r="HX5" s="341"/>
      <c r="HZ5" s="341"/>
      <c r="IA5" s="342"/>
      <c r="IB5" s="341"/>
      <c r="IC5" s="341"/>
      <c r="IE5" s="166"/>
      <c r="IF5" s="319"/>
      <c r="IG5" s="166"/>
      <c r="IH5" s="166"/>
      <c r="IJ5" s="166"/>
      <c r="IK5" s="319"/>
      <c r="IL5" s="166"/>
      <c r="IM5" s="166"/>
      <c r="IO5" s="156"/>
      <c r="IP5" s="183"/>
      <c r="IQ5" s="156"/>
      <c r="IR5" s="156"/>
      <c r="IT5" s="156"/>
      <c r="IU5" s="156"/>
      <c r="IV5" s="156"/>
      <c r="IW5" s="156"/>
      <c r="IY5" s="156"/>
      <c r="IZ5" s="183"/>
      <c r="JA5" s="156"/>
      <c r="JB5" s="156"/>
      <c r="JC5" s="157"/>
      <c r="JD5" s="156"/>
      <c r="JE5" s="156"/>
      <c r="JF5" s="156"/>
      <c r="JG5" s="156"/>
      <c r="JH5" s="156"/>
      <c r="JI5" s="156"/>
      <c r="JJ5" s="156"/>
      <c r="JK5" s="156"/>
      <c r="JL5" s="156"/>
      <c r="JM5" s="157"/>
      <c r="JN5" s="156"/>
      <c r="JO5" s="156"/>
      <c r="JP5" s="156"/>
      <c r="JQ5" s="156"/>
      <c r="JR5" s="157"/>
      <c r="JS5" s="156"/>
      <c r="JT5" s="156"/>
      <c r="JU5" s="156"/>
      <c r="JV5" s="156"/>
      <c r="JW5" s="157"/>
      <c r="JX5" s="156"/>
      <c r="JY5" s="156"/>
      <c r="JZ5" s="156"/>
      <c r="KA5" s="156"/>
      <c r="KB5" s="157"/>
      <c r="KC5" s="156"/>
      <c r="KD5" s="156"/>
      <c r="KE5" s="156"/>
      <c r="KF5" s="156"/>
      <c r="KG5" s="157"/>
      <c r="KH5" s="156"/>
      <c r="KI5" s="156"/>
      <c r="KJ5" s="156"/>
      <c r="KK5" s="156"/>
      <c r="KL5" s="157"/>
      <c r="KM5" s="156"/>
      <c r="KN5" s="156"/>
      <c r="KO5" s="156"/>
      <c r="KP5" s="156"/>
      <c r="KQ5" s="157"/>
      <c r="KR5" s="156"/>
      <c r="KS5" s="156"/>
      <c r="KT5" s="156"/>
      <c r="KU5" s="156"/>
      <c r="KV5" s="157"/>
      <c r="KW5" s="156"/>
      <c r="KX5" s="156"/>
      <c r="KY5" s="156"/>
      <c r="KZ5" s="156"/>
      <c r="LA5" s="157"/>
      <c r="LB5" s="156"/>
      <c r="LC5" s="156"/>
      <c r="LD5" s="156"/>
      <c r="LE5" s="156"/>
      <c r="LF5" s="157"/>
      <c r="LG5" s="156"/>
      <c r="LH5" s="156"/>
      <c r="LI5" s="156"/>
      <c r="LJ5" s="156"/>
      <c r="LK5" s="157"/>
      <c r="LL5" s="156"/>
      <c r="LM5" s="156"/>
      <c r="LN5" s="156"/>
      <c r="LO5" s="156"/>
      <c r="LP5" s="163"/>
      <c r="LQ5" s="156"/>
      <c r="LR5" s="156"/>
      <c r="LS5" s="156"/>
      <c r="LT5" s="156"/>
      <c r="LU5" s="163"/>
      <c r="LV5" s="156"/>
      <c r="LW5" s="156"/>
      <c r="LX5" s="156"/>
      <c r="LY5" s="156"/>
      <c r="LZ5" s="157"/>
      <c r="MA5" s="156"/>
      <c r="MB5" s="156"/>
      <c r="MC5" s="156"/>
      <c r="MD5" s="156"/>
      <c r="ME5" s="157"/>
      <c r="MF5" s="156"/>
      <c r="MG5" s="156"/>
      <c r="MH5" s="156"/>
      <c r="MI5" s="156"/>
      <c r="MJ5" s="157"/>
      <c r="MK5" s="156"/>
      <c r="ML5" s="156"/>
      <c r="MM5" s="156"/>
      <c r="MN5" s="156"/>
      <c r="MO5" s="157"/>
      <c r="MP5" s="156"/>
      <c r="MQ5" s="156"/>
      <c r="MR5" s="156"/>
      <c r="MS5" s="156"/>
      <c r="MT5" s="157"/>
      <c r="MU5" s="163"/>
      <c r="MV5" s="156"/>
      <c r="MW5" s="156"/>
      <c r="MX5" s="156"/>
      <c r="MY5" s="180"/>
      <c r="MZ5" s="157"/>
      <c r="NA5" s="156"/>
      <c r="NB5" s="156"/>
      <c r="NC5" s="156"/>
      <c r="ND5" s="180"/>
      <c r="NE5" s="157"/>
      <c r="NF5" s="156"/>
      <c r="NG5" s="156"/>
      <c r="NH5" s="156"/>
      <c r="NI5" s="180"/>
      <c r="NJ5" s="157"/>
      <c r="NK5" s="157"/>
      <c r="NL5" s="157"/>
      <c r="NM5" s="157"/>
      <c r="NN5" s="157"/>
      <c r="NO5" s="157"/>
      <c r="NP5" s="157"/>
      <c r="NQ5" s="157"/>
      <c r="NR5" s="157"/>
      <c r="NS5" s="157"/>
      <c r="NT5" s="157"/>
      <c r="NU5" s="157"/>
      <c r="NV5" s="157"/>
      <c r="NW5" s="157"/>
      <c r="NX5" s="157"/>
      <c r="NY5" s="157"/>
      <c r="NZ5" s="157"/>
      <c r="OA5" s="157"/>
      <c r="OB5" s="157"/>
      <c r="OC5" s="157"/>
      <c r="OD5" s="157"/>
      <c r="OE5" s="157"/>
      <c r="OF5" s="157"/>
      <c r="OG5" s="157"/>
      <c r="OH5" s="157"/>
      <c r="OI5" s="157"/>
      <c r="OJ5" s="157"/>
      <c r="OK5" s="157"/>
      <c r="OL5" s="157"/>
      <c r="OM5" s="157"/>
      <c r="ON5" s="157"/>
      <c r="OO5" s="157"/>
      <c r="OP5" s="157"/>
      <c r="OQ5" s="157"/>
      <c r="OR5" s="157"/>
      <c r="OS5" s="157"/>
      <c r="OT5" s="157"/>
      <c r="OU5" s="157"/>
      <c r="OV5" s="157"/>
      <c r="OW5" s="157"/>
      <c r="OX5" s="157"/>
      <c r="OY5" s="157"/>
      <c r="OZ5" s="157"/>
      <c r="PA5" s="157"/>
    </row>
    <row r="6" spans="1:417">
      <c r="A6" s="59" t="s">
        <v>581</v>
      </c>
      <c r="C6" s="686">
        <f>([3]segmenty!$D$9)*1000</f>
        <v>295000</v>
      </c>
      <c r="D6" s="686">
        <f>([3]segmenty!$D$34)*1000</f>
        <v>180000</v>
      </c>
      <c r="E6" s="686">
        <f>([3]segmenty!$D$31)*1000</f>
        <v>122000</v>
      </c>
      <c r="F6" s="686">
        <f>([3]segmenty!$D$25)*1000</f>
        <v>5692000</v>
      </c>
      <c r="H6" s="686">
        <f>[4]segmenty!$D$9*1000</f>
        <v>987000</v>
      </c>
      <c r="I6" s="686">
        <f>[4]segmenty!$D$34*1000</f>
        <v>684000</v>
      </c>
      <c r="J6" s="686">
        <f>[4]segmenty!$D$31*1000</f>
        <v>497000</v>
      </c>
      <c r="K6" s="686">
        <f>[4]segmenty!$D$25*1000</f>
        <v>5192000</v>
      </c>
      <c r="M6" s="686">
        <f t="shared" si="23"/>
        <v>299000</v>
      </c>
      <c r="N6" s="686">
        <f t="shared" si="13"/>
        <v>190000</v>
      </c>
      <c r="O6" s="686">
        <f t="shared" si="13"/>
        <v>146000</v>
      </c>
      <c r="P6" s="686">
        <f t="shared" si="14"/>
        <v>5192000</v>
      </c>
      <c r="R6" s="686">
        <f>([5]segmenty!$D$9)*1000</f>
        <v>688000</v>
      </c>
      <c r="S6" s="686">
        <f>([5]segmenty!$D$34)*1000</f>
        <v>494000</v>
      </c>
      <c r="T6" s="686">
        <f>([5]segmenty!$D$31)*1000</f>
        <v>351000</v>
      </c>
      <c r="U6" s="686">
        <f>([5]segmenty!$D$25)*1000</f>
        <v>5079000</v>
      </c>
      <c r="W6" s="686">
        <f>('[5]segmenty 3 m-ce'!$D$69)*1000</f>
        <v>176000</v>
      </c>
      <c r="X6" s="686">
        <f>('[5]segmenty 3 m-ce'!$D$84)*1000</f>
        <v>125000</v>
      </c>
      <c r="Y6" s="686">
        <f>('[5]segmenty 3 m-ce'!$D$81)*1000</f>
        <v>77000</v>
      </c>
      <c r="Z6" s="686">
        <f t="shared" si="15"/>
        <v>5079000</v>
      </c>
      <c r="AB6" s="686">
        <v>512000</v>
      </c>
      <c r="AC6" s="686">
        <v>369000</v>
      </c>
      <c r="AD6" s="686">
        <v>274000</v>
      </c>
      <c r="AE6" s="686">
        <v>4545000</v>
      </c>
      <c r="AG6" s="686">
        <v>220000</v>
      </c>
      <c r="AH6" s="686">
        <v>140000</v>
      </c>
      <c r="AI6" s="686">
        <v>92000</v>
      </c>
      <c r="AJ6" s="686">
        <f t="shared" si="16"/>
        <v>4545000</v>
      </c>
      <c r="AL6" s="686">
        <f>[6]segmenty!$C$9*1000</f>
        <v>292000</v>
      </c>
      <c r="AM6" s="686">
        <f>[6]segmenty!$C$34*1000</f>
        <v>229000</v>
      </c>
      <c r="AN6" s="686">
        <f>[6]segmenty!$C$31*1000</f>
        <v>182000</v>
      </c>
      <c r="AO6" s="686">
        <f>[6]segmenty!$C$25*1000</f>
        <v>4288000</v>
      </c>
      <c r="AQ6" s="686">
        <f>([7]segmenty!$C$9)*1000</f>
        <v>750000</v>
      </c>
      <c r="AR6" s="686">
        <f>([7]segmenty!$C$34)*1000</f>
        <v>431000</v>
      </c>
      <c r="AS6" s="686">
        <f>([7]segmenty!$C$31)*1000</f>
        <v>261000</v>
      </c>
      <c r="AT6" s="686">
        <f>([7]segmenty!$C$25)*1000</f>
        <v>3971000</v>
      </c>
      <c r="AV6" s="686">
        <f t="shared" si="17"/>
        <v>189000</v>
      </c>
      <c r="AW6" s="686">
        <f t="shared" si="17"/>
        <v>110000</v>
      </c>
      <c r="AX6" s="686">
        <f t="shared" si="17"/>
        <v>82000</v>
      </c>
      <c r="AY6" s="686">
        <f t="shared" si="18"/>
        <v>3971000</v>
      </c>
      <c r="BA6" s="686">
        <f>([8]segmenty!$C$9)*1000</f>
        <v>561000</v>
      </c>
      <c r="BB6" s="686">
        <f>([8]segmenty!$C$34)*1000</f>
        <v>321000</v>
      </c>
      <c r="BC6" s="686">
        <f>([8]segmenty!$C$31)*1000</f>
        <v>179000</v>
      </c>
      <c r="BD6" s="686">
        <f>([8]segmenty!$C$25)*1000</f>
        <v>3527000</v>
      </c>
      <c r="BF6" s="686">
        <f>('[8]segmenty 3 m-ce PREZ'!$C$9)*1000</f>
        <v>121000</v>
      </c>
      <c r="BG6" s="686">
        <f>('[8]segmenty 3 m-ce PREZ'!$C$16)*1000</f>
        <v>45000</v>
      </c>
      <c r="BH6" s="686">
        <f>('[8]segmenty 3 m-ce PREZ'!$C$12)*1000</f>
        <v>-1000</v>
      </c>
      <c r="BI6" s="686">
        <f t="shared" si="19"/>
        <v>3527000</v>
      </c>
      <c r="BK6" s="686">
        <f>[9]segmenty!$C$9*1000</f>
        <v>440000</v>
      </c>
      <c r="BL6" s="686">
        <f>[9]segmenty!$C$34*1000</f>
        <v>276000</v>
      </c>
      <c r="BM6" s="686">
        <f>[9]segmenty!$C$31*1000</f>
        <v>180000</v>
      </c>
      <c r="BN6" s="686">
        <f>[9]segmenty!$C$25*1000</f>
        <v>3271000</v>
      </c>
      <c r="BP6" s="686">
        <f>('[9]segmenty 3 m-ce'!$C$69)*1000</f>
        <v>171000</v>
      </c>
      <c r="BQ6" s="686">
        <f>('[9]segmenty 3 m-ce'!$C$84)*1000</f>
        <v>90000</v>
      </c>
      <c r="BR6" s="686">
        <f>('[9]segmenty 3 m-ce'!$C$81)*1000</f>
        <v>42000</v>
      </c>
      <c r="BS6" s="686">
        <f t="shared" si="20"/>
        <v>3271000</v>
      </c>
      <c r="BU6" s="686">
        <f>[10]segmenty!$C$9*1000</f>
        <v>269000</v>
      </c>
      <c r="BV6" s="686">
        <f>[10]segmenty!$C$34*1000</f>
        <v>186000</v>
      </c>
      <c r="BW6" s="686">
        <f>[10]segmenty!$C$31*1000</f>
        <v>138000</v>
      </c>
      <c r="BX6" s="686">
        <f>[10]segmenty!$C$25*1000</f>
        <v>2960000</v>
      </c>
      <c r="BZ6" s="686">
        <f t="shared" si="21"/>
        <v>163000</v>
      </c>
      <c r="CA6" s="686">
        <f t="shared" si="21"/>
        <v>94000</v>
      </c>
      <c r="CB6" s="686">
        <f t="shared" si="21"/>
        <v>20000</v>
      </c>
      <c r="CC6" s="686">
        <f t="shared" si="22"/>
        <v>2910000</v>
      </c>
      <c r="CE6" s="686">
        <v>909000</v>
      </c>
      <c r="CF6" s="686">
        <v>476000</v>
      </c>
      <c r="CG6" s="686">
        <v>292000</v>
      </c>
      <c r="CH6" s="686">
        <v>2910000</v>
      </c>
      <c r="CJ6" s="467">
        <v>178000</v>
      </c>
      <c r="CK6" s="467">
        <v>86000</v>
      </c>
      <c r="CL6" s="467">
        <v>50000</v>
      </c>
      <c r="CM6" s="467">
        <f t="shared" si="0"/>
        <v>2585000</v>
      </c>
      <c r="CO6" s="467">
        <v>746000</v>
      </c>
      <c r="CP6" s="467">
        <v>382000</v>
      </c>
      <c r="CQ6" s="467">
        <v>272000</v>
      </c>
      <c r="CR6" s="467">
        <v>2585000</v>
      </c>
      <c r="CT6" s="467">
        <f t="shared" si="1"/>
        <v>254000</v>
      </c>
      <c r="CU6" s="467">
        <f t="shared" si="1"/>
        <v>110000</v>
      </c>
      <c r="CV6" s="467">
        <f t="shared" si="1"/>
        <v>68000</v>
      </c>
      <c r="CW6" s="467">
        <v>2590000</v>
      </c>
      <c r="CY6" s="467">
        <v>568000</v>
      </c>
      <c r="CZ6" s="467">
        <v>296000</v>
      </c>
      <c r="DA6" s="467">
        <v>222000</v>
      </c>
      <c r="DB6" s="467">
        <v>2590000</v>
      </c>
      <c r="DD6" s="467">
        <v>314000</v>
      </c>
      <c r="DE6" s="467">
        <v>186000</v>
      </c>
      <c r="DF6" s="467">
        <v>154000</v>
      </c>
      <c r="DG6" s="467">
        <v>2476000</v>
      </c>
      <c r="DI6" s="467">
        <f t="shared" si="2"/>
        <v>216892</v>
      </c>
      <c r="DJ6" s="467">
        <f t="shared" si="2"/>
        <v>125893</v>
      </c>
      <c r="DK6" s="467">
        <f t="shared" si="2"/>
        <v>90451</v>
      </c>
      <c r="DL6" s="467">
        <f t="shared" si="3"/>
        <v>2470000</v>
      </c>
      <c r="DN6" s="467">
        <v>661000</v>
      </c>
      <c r="DO6" s="467">
        <v>376000</v>
      </c>
      <c r="DP6" s="467">
        <v>224000</v>
      </c>
      <c r="DQ6" s="467">
        <v>2470000</v>
      </c>
      <c r="DS6" s="467">
        <f t="shared" si="4"/>
        <v>135733</v>
      </c>
      <c r="DT6" s="467">
        <f t="shared" si="4"/>
        <v>83090</v>
      </c>
      <c r="DU6" s="467">
        <f t="shared" si="4"/>
        <v>44592</v>
      </c>
      <c r="DV6" s="467">
        <f t="shared" si="5"/>
        <v>2397206</v>
      </c>
      <c r="DX6" s="467">
        <v>444108</v>
      </c>
      <c r="DY6" s="467">
        <v>250107</v>
      </c>
      <c r="DZ6" s="467">
        <v>133549</v>
      </c>
      <c r="EA6" s="467">
        <v>2397206</v>
      </c>
      <c r="EC6" s="467">
        <f t="shared" si="6"/>
        <v>152247</v>
      </c>
      <c r="ED6" s="467">
        <f t="shared" si="6"/>
        <v>83297</v>
      </c>
      <c r="EE6" s="467">
        <f t="shared" si="6"/>
        <v>44444</v>
      </c>
      <c r="EF6" s="467">
        <f t="shared" si="7"/>
        <v>2380016</v>
      </c>
      <c r="EH6" s="467">
        <v>308375</v>
      </c>
      <c r="EI6" s="467">
        <v>167017</v>
      </c>
      <c r="EJ6" s="467">
        <v>88957</v>
      </c>
      <c r="EK6" s="467">
        <v>2380016</v>
      </c>
      <c r="EM6" s="467">
        <v>156128</v>
      </c>
      <c r="EN6" s="467">
        <v>83720</v>
      </c>
      <c r="EO6" s="467">
        <v>44513</v>
      </c>
      <c r="EP6" s="467">
        <v>2404403</v>
      </c>
      <c r="ER6" s="467">
        <f>EW6-FG6</f>
        <v>157558</v>
      </c>
      <c r="ES6" s="467">
        <f>EX6-FH6</f>
        <v>79490</v>
      </c>
      <c r="ET6" s="467">
        <f>EY6-FI6</f>
        <v>41326</v>
      </c>
      <c r="EU6" s="467">
        <f t="shared" si="9"/>
        <v>2438924</v>
      </c>
      <c r="EW6" s="467">
        <v>615558</v>
      </c>
      <c r="EX6" s="467">
        <v>296852</v>
      </c>
      <c r="EY6" s="467">
        <v>145801</v>
      </c>
      <c r="EZ6" s="467">
        <v>2438924</v>
      </c>
      <c r="FB6" s="467">
        <v>108978</v>
      </c>
      <c r="FC6" s="467">
        <v>53797</v>
      </c>
      <c r="FD6" s="467">
        <v>16392</v>
      </c>
      <c r="FE6" s="467">
        <f t="shared" si="10"/>
        <v>2359573</v>
      </c>
      <c r="FG6" s="467">
        <v>458000</v>
      </c>
      <c r="FH6" s="467">
        <v>217362</v>
      </c>
      <c r="FI6" s="467">
        <v>104475</v>
      </c>
      <c r="FJ6" s="467">
        <v>2359573</v>
      </c>
      <c r="FL6" s="467">
        <f t="shared" si="11"/>
        <v>149855</v>
      </c>
      <c r="FM6" s="468">
        <f t="shared" si="11"/>
        <v>42495</v>
      </c>
      <c r="FN6" s="467">
        <f t="shared" si="11"/>
        <v>4801</v>
      </c>
      <c r="FO6" s="467">
        <v>2403664</v>
      </c>
      <c r="FQ6" s="467">
        <v>349022</v>
      </c>
      <c r="FR6" s="468">
        <v>163565</v>
      </c>
      <c r="FS6" s="467">
        <v>88083</v>
      </c>
      <c r="FT6" s="467">
        <v>2403664</v>
      </c>
      <c r="FV6" s="467">
        <v>199167</v>
      </c>
      <c r="FW6" s="468">
        <v>121070</v>
      </c>
      <c r="FX6" s="467">
        <v>83282</v>
      </c>
      <c r="FY6" s="467">
        <v>2460727</v>
      </c>
      <c r="FZ6" s="5"/>
      <c r="GA6" s="341"/>
      <c r="GB6" s="342"/>
      <c r="GC6" s="341"/>
      <c r="GD6" s="341"/>
      <c r="GF6" s="341"/>
      <c r="GG6" s="342"/>
      <c r="GH6" s="341"/>
      <c r="GI6" s="341"/>
      <c r="GK6" s="341"/>
      <c r="GL6" s="342"/>
      <c r="GM6" s="341"/>
      <c r="GN6" s="341"/>
      <c r="GP6" s="341"/>
      <c r="GQ6" s="342"/>
      <c r="GR6" s="341"/>
      <c r="GS6" s="341"/>
      <c r="GV6" s="341"/>
      <c r="GW6" s="342"/>
      <c r="GX6" s="341"/>
      <c r="GY6" s="341"/>
      <c r="HA6" s="341"/>
      <c r="HB6" s="342"/>
      <c r="HC6" s="341"/>
      <c r="HD6" s="341"/>
      <c r="HF6" s="341"/>
      <c r="HG6" s="342"/>
      <c r="HH6" s="341"/>
      <c r="HI6" s="341"/>
      <c r="HK6" s="341"/>
      <c r="HL6" s="341"/>
      <c r="HM6" s="341"/>
      <c r="HN6" s="341"/>
      <c r="HP6" s="341"/>
      <c r="HQ6" s="342"/>
      <c r="HR6" s="341"/>
      <c r="HS6" s="341"/>
      <c r="HU6" s="341"/>
      <c r="HV6" s="342"/>
      <c r="HW6" s="341"/>
      <c r="HX6" s="341"/>
      <c r="HZ6" s="341"/>
      <c r="IA6" s="342"/>
      <c r="IB6" s="341"/>
      <c r="IC6" s="341"/>
      <c r="IE6" s="166"/>
      <c r="IF6" s="319"/>
      <c r="IG6" s="166"/>
      <c r="IH6" s="166"/>
      <c r="IJ6" s="166"/>
      <c r="IK6" s="319"/>
      <c r="IL6" s="166"/>
      <c r="IM6" s="166"/>
      <c r="IO6" s="156"/>
      <c r="IP6" s="183"/>
      <c r="IQ6" s="156"/>
      <c r="IR6" s="156"/>
      <c r="IT6" s="156"/>
      <c r="IU6" s="156"/>
      <c r="IV6" s="156"/>
      <c r="IW6" s="156"/>
      <c r="IY6" s="156"/>
      <c r="IZ6" s="183"/>
      <c r="JA6" s="156"/>
      <c r="JB6" s="156"/>
      <c r="JC6" s="157"/>
      <c r="JD6" s="156"/>
      <c r="JE6" s="156"/>
      <c r="JF6" s="156"/>
      <c r="JG6" s="156"/>
      <c r="JH6" s="156"/>
      <c r="JI6" s="156"/>
      <c r="JJ6" s="156"/>
      <c r="JK6" s="156"/>
      <c r="JL6" s="156"/>
      <c r="JM6" s="157"/>
      <c r="JN6" s="156"/>
      <c r="JO6" s="156"/>
      <c r="JP6" s="156"/>
      <c r="JQ6" s="156"/>
      <c r="JR6" s="157"/>
      <c r="JS6" s="156"/>
      <c r="JT6" s="156"/>
      <c r="JU6" s="156"/>
      <c r="JV6" s="156"/>
      <c r="JW6" s="157"/>
      <c r="JX6" s="156"/>
      <c r="JY6" s="156"/>
      <c r="JZ6" s="156"/>
      <c r="KA6" s="156"/>
      <c r="KB6" s="157"/>
      <c r="KC6" s="156"/>
      <c r="KD6" s="156"/>
      <c r="KE6" s="156"/>
      <c r="KF6" s="156"/>
      <c r="KG6" s="157"/>
      <c r="KH6" s="156"/>
      <c r="KI6" s="156"/>
      <c r="KJ6" s="156"/>
      <c r="KK6" s="156"/>
      <c r="KL6" s="157"/>
      <c r="KM6" s="156"/>
      <c r="KN6" s="156"/>
      <c r="KO6" s="156"/>
      <c r="KP6" s="156"/>
      <c r="KQ6" s="157"/>
      <c r="KR6" s="156"/>
      <c r="KS6" s="156"/>
      <c r="KT6" s="156"/>
      <c r="KU6" s="156"/>
      <c r="KV6" s="157"/>
      <c r="KW6" s="156"/>
      <c r="KX6" s="156"/>
      <c r="KY6" s="156"/>
      <c r="KZ6" s="156"/>
      <c r="LA6" s="157"/>
      <c r="LB6" s="156"/>
      <c r="LC6" s="156"/>
      <c r="LD6" s="156"/>
      <c r="LE6" s="156"/>
      <c r="LF6" s="157"/>
      <c r="LG6" s="156"/>
      <c r="LH6" s="156"/>
      <c r="LI6" s="156"/>
      <c r="LJ6" s="156"/>
      <c r="LK6" s="157"/>
      <c r="LL6" s="156"/>
      <c r="LM6" s="156"/>
      <c r="LN6" s="156"/>
      <c r="LO6" s="156"/>
      <c r="LP6" s="163"/>
      <c r="LQ6" s="156"/>
      <c r="LR6" s="156"/>
      <c r="LS6" s="156"/>
      <c r="LT6" s="156"/>
      <c r="LU6" s="163"/>
      <c r="LV6" s="156"/>
      <c r="LW6" s="156"/>
      <c r="LX6" s="156"/>
      <c r="LY6" s="156"/>
      <c r="LZ6" s="157"/>
      <c r="MA6" s="156"/>
      <c r="MB6" s="156"/>
      <c r="MC6" s="156"/>
      <c r="MD6" s="156"/>
      <c r="ME6" s="157"/>
      <c r="MF6" s="156"/>
      <c r="MG6" s="156"/>
      <c r="MH6" s="156"/>
      <c r="MI6" s="156"/>
      <c r="MJ6" s="157"/>
      <c r="MK6" s="156"/>
      <c r="ML6" s="156"/>
      <c r="MM6" s="156"/>
      <c r="MN6" s="156"/>
      <c r="MO6" s="157"/>
      <c r="MP6" s="156"/>
      <c r="MQ6" s="156"/>
      <c r="MR6" s="156"/>
      <c r="MS6" s="156"/>
      <c r="MT6" s="157"/>
      <c r="MU6" s="163"/>
      <c r="MV6" s="156"/>
      <c r="MW6" s="156"/>
      <c r="MX6" s="156"/>
      <c r="MY6" s="180"/>
      <c r="MZ6" s="157"/>
      <c r="NA6" s="156"/>
      <c r="NB6" s="156"/>
      <c r="NC6" s="156"/>
      <c r="ND6" s="180"/>
      <c r="NE6" s="157"/>
      <c r="NF6" s="156"/>
      <c r="NG6" s="156"/>
      <c r="NH6" s="156"/>
      <c r="NI6" s="180"/>
      <c r="NJ6" s="157"/>
      <c r="NK6" s="157"/>
      <c r="NL6" s="157"/>
      <c r="NM6" s="157"/>
      <c r="NN6" s="157"/>
      <c r="NO6" s="157"/>
      <c r="NP6" s="157"/>
      <c r="NQ6" s="157"/>
      <c r="NR6" s="157"/>
      <c r="NS6" s="157"/>
      <c r="NT6" s="157"/>
      <c r="NU6" s="157"/>
      <c r="NV6" s="157"/>
      <c r="NW6" s="157"/>
      <c r="NX6" s="157"/>
      <c r="NY6" s="157"/>
      <c r="NZ6" s="157"/>
      <c r="OA6" s="157"/>
      <c r="OB6" s="157"/>
      <c r="OC6" s="157"/>
      <c r="OD6" s="157"/>
      <c r="OE6" s="157"/>
      <c r="OF6" s="157"/>
      <c r="OG6" s="157"/>
      <c r="OH6" s="157"/>
      <c r="OI6" s="157"/>
      <c r="OJ6" s="157"/>
      <c r="OK6" s="157"/>
      <c r="OL6" s="157"/>
      <c r="OM6" s="157"/>
      <c r="ON6" s="157"/>
      <c r="OO6" s="157"/>
      <c r="OP6" s="157"/>
      <c r="OQ6" s="157"/>
      <c r="OR6" s="157"/>
      <c r="OS6" s="157"/>
      <c r="OT6" s="157"/>
      <c r="OU6" s="157"/>
      <c r="OV6" s="157"/>
      <c r="OW6" s="157"/>
      <c r="OX6" s="157"/>
      <c r="OY6" s="157"/>
      <c r="OZ6" s="157"/>
      <c r="PA6" s="157"/>
    </row>
    <row r="7" spans="1:417">
      <c r="A7" s="59" t="s">
        <v>78</v>
      </c>
      <c r="C7" s="686">
        <f>([3]segmenty!$E$9)*1000</f>
        <v>3213000</v>
      </c>
      <c r="D7" s="686">
        <f>([3]segmenty!$E$34)*1000</f>
        <v>1226000</v>
      </c>
      <c r="E7" s="686">
        <f>([3]segmenty!$E$31)*1000</f>
        <v>859000</v>
      </c>
      <c r="F7" s="686">
        <f>([3]segmenty!$E$25)*1000</f>
        <v>26513000</v>
      </c>
      <c r="H7" s="686">
        <f>[4]segmenty!$E$9*1000</f>
        <v>11434000</v>
      </c>
      <c r="I7" s="686">
        <f>[4]segmenty!$E$34*1000</f>
        <v>3963000</v>
      </c>
      <c r="J7" s="686">
        <f>[4]segmenty!$E$31*1000</f>
        <v>2547000</v>
      </c>
      <c r="K7" s="686">
        <f>[4]segmenty!$E$25*1000</f>
        <v>25961000</v>
      </c>
      <c r="M7" s="686">
        <f t="shared" si="23"/>
        <v>2846000</v>
      </c>
      <c r="N7" s="686">
        <f t="shared" si="13"/>
        <v>864000</v>
      </c>
      <c r="O7" s="686">
        <f t="shared" si="13"/>
        <v>495000</v>
      </c>
      <c r="P7" s="686">
        <f t="shared" si="14"/>
        <v>25961000</v>
      </c>
      <c r="R7" s="686">
        <f>([5]segmenty!$E$9)*1000+461000</f>
        <v>8588000</v>
      </c>
      <c r="S7" s="686">
        <f>([5]segmenty!$E$34)*1000+461000</f>
        <v>3099000</v>
      </c>
      <c r="T7" s="686">
        <f>([5]segmenty!$E$31)*1000+461000</f>
        <v>2052000</v>
      </c>
      <c r="U7" s="686">
        <f>([5]segmenty!$E$25)*1000</f>
        <v>25309000</v>
      </c>
      <c r="W7" s="686">
        <f>('[5]segmenty 3 m-ce'!$E$69)*1000-1000</f>
        <v>2875000</v>
      </c>
      <c r="X7" s="686">
        <f>('[5]segmenty 3 m-ce'!$E$84)*1000-1000</f>
        <v>1021000</v>
      </c>
      <c r="Y7" s="686">
        <f>('[5]segmenty 3 m-ce'!$E$81)*1000-1000</f>
        <v>664000</v>
      </c>
      <c r="Z7" s="686">
        <f t="shared" si="15"/>
        <v>25309000</v>
      </c>
      <c r="AB7" s="686">
        <f>5251000+462000</f>
        <v>5713000</v>
      </c>
      <c r="AC7" s="686">
        <f>1616000+462000</f>
        <v>2078000</v>
      </c>
      <c r="AD7" s="686">
        <f>926000+462000</f>
        <v>1388000</v>
      </c>
      <c r="AE7" s="686">
        <v>25011000</v>
      </c>
      <c r="AG7" s="686">
        <f>2806000+69000</f>
        <v>2875000</v>
      </c>
      <c r="AH7" s="686">
        <f>994000+69000</f>
        <v>1063000</v>
      </c>
      <c r="AI7" s="686">
        <f>645000+69000</f>
        <v>714000</v>
      </c>
      <c r="AJ7" s="686">
        <f t="shared" si="16"/>
        <v>25011000</v>
      </c>
      <c r="AL7" s="686">
        <f>[6]segmenty!$D$9*1000+392000</f>
        <v>2838000</v>
      </c>
      <c r="AM7" s="686">
        <f>[6]segmenty!$D$34*1000+393000</f>
        <v>1015000</v>
      </c>
      <c r="AN7" s="686">
        <f>[6]segmenty!$D$31*1000+393000+1000</f>
        <v>674000</v>
      </c>
      <c r="AO7" s="686">
        <f>[6]segmenty!$D$25*1000</f>
        <v>24794000</v>
      </c>
      <c r="AQ7" s="686">
        <f>([7]segmenty!$D$9)*1000</f>
        <v>11734000</v>
      </c>
      <c r="AR7" s="686">
        <f>([7]segmenty!$D$34)*1000</f>
        <v>3528000</v>
      </c>
      <c r="AS7" s="686">
        <f>([7]segmenty!$D$31)*1000</f>
        <v>2197000</v>
      </c>
      <c r="AT7" s="686">
        <f>([7]segmenty!$D$25)*1000</f>
        <v>24189000</v>
      </c>
      <c r="AV7" s="686">
        <f t="shared" si="17"/>
        <v>2770000</v>
      </c>
      <c r="AW7" s="686">
        <f t="shared" si="17"/>
        <v>102000</v>
      </c>
      <c r="AX7" s="686">
        <f t="shared" si="17"/>
        <v>-246000</v>
      </c>
      <c r="AY7" s="686">
        <f t="shared" si="18"/>
        <v>24189000</v>
      </c>
      <c r="BA7" s="686">
        <f>([8]segmenty!$D$9)*1000</f>
        <v>8964000</v>
      </c>
      <c r="BB7" s="686">
        <f>([8]segmenty!$D$34)*1000</f>
        <v>3426000</v>
      </c>
      <c r="BC7" s="686">
        <f>([8]segmenty!$D$31)*1000</f>
        <v>2443000</v>
      </c>
      <c r="BD7" s="686">
        <f>([8]segmenty!$D$25)*1000</f>
        <v>23631000</v>
      </c>
      <c r="BF7" s="686">
        <f>('[8]segmenty 3 m-ce PREZ'!$D$9)*1000</f>
        <v>2846000</v>
      </c>
      <c r="BG7" s="686">
        <f>('[8]segmenty 3 m-ce PREZ'!$D$16)*1000</f>
        <v>1096000</v>
      </c>
      <c r="BH7" s="686">
        <f>('[8]segmenty 3 m-ce PREZ'!$D$12)*1000</f>
        <v>761000</v>
      </c>
      <c r="BI7" s="686">
        <f t="shared" si="19"/>
        <v>23631000</v>
      </c>
      <c r="BK7" s="686">
        <f>[9]segmenty!$D$9*1000</f>
        <v>6118000</v>
      </c>
      <c r="BL7" s="686">
        <f>[9]segmenty!$D$34*1000</f>
        <v>2330000</v>
      </c>
      <c r="BM7" s="686">
        <f>[9]segmenty!$D$31*1000</f>
        <v>1682000</v>
      </c>
      <c r="BN7" s="686">
        <f>[9]segmenty!$D$25*1000</f>
        <v>23243000</v>
      </c>
      <c r="BP7" s="686">
        <f>('[9]segmenty 3 m-ce'!$D$69)*1000</f>
        <v>2791000</v>
      </c>
      <c r="BQ7" s="686">
        <f>('[9]segmenty 3 m-ce'!$D$84)*1000</f>
        <v>1044000</v>
      </c>
      <c r="BR7" s="686">
        <f>('[9]segmenty 3 m-ce'!$D$81)*1000</f>
        <v>714000</v>
      </c>
      <c r="BS7" s="686">
        <f t="shared" si="20"/>
        <v>23243000</v>
      </c>
      <c r="BU7" s="686">
        <f>[10]segmenty!$D$9*1000</f>
        <v>3327000</v>
      </c>
      <c r="BV7" s="686">
        <f>[10]segmenty!$D$34*1000</f>
        <v>1286000</v>
      </c>
      <c r="BW7" s="686">
        <f>[10]segmenty!$D$31*1000</f>
        <v>968000</v>
      </c>
      <c r="BX7" s="686">
        <f>[10]segmenty!$D$25*1000</f>
        <v>23123000</v>
      </c>
      <c r="BZ7" s="686">
        <f t="shared" si="21"/>
        <v>1880000</v>
      </c>
      <c r="CA7" s="686">
        <f t="shared" si="21"/>
        <v>590000</v>
      </c>
      <c r="CB7" s="686">
        <f t="shared" si="21"/>
        <v>264000</v>
      </c>
      <c r="CC7" s="686">
        <f t="shared" si="22"/>
        <v>22174000</v>
      </c>
      <c r="CE7" s="686">
        <v>7611000</v>
      </c>
      <c r="CF7" s="686">
        <v>2939000</v>
      </c>
      <c r="CG7" s="686">
        <v>1679000</v>
      </c>
      <c r="CH7" s="686">
        <v>22174000</v>
      </c>
      <c r="CJ7" s="467">
        <v>1812000</v>
      </c>
      <c r="CK7" s="467">
        <v>640000</v>
      </c>
      <c r="CL7" s="467">
        <v>323000</v>
      </c>
      <c r="CM7" s="467">
        <f t="shared" si="0"/>
        <v>21729000</v>
      </c>
      <c r="CO7" s="467">
        <v>5731000</v>
      </c>
      <c r="CP7" s="467">
        <v>2349000</v>
      </c>
      <c r="CQ7" s="467">
        <v>1415000</v>
      </c>
      <c r="CR7" s="467">
        <v>21729000</v>
      </c>
      <c r="CT7" s="467">
        <f t="shared" si="1"/>
        <v>1896000</v>
      </c>
      <c r="CU7" s="467">
        <f t="shared" si="1"/>
        <v>845000</v>
      </c>
      <c r="CV7" s="467">
        <f t="shared" si="1"/>
        <v>531000</v>
      </c>
      <c r="CW7" s="467">
        <v>21485000</v>
      </c>
      <c r="CY7" s="467">
        <v>3919000</v>
      </c>
      <c r="CZ7" s="467">
        <v>1709000</v>
      </c>
      <c r="DA7" s="467">
        <v>1092000</v>
      </c>
      <c r="DB7" s="467">
        <v>21485000</v>
      </c>
      <c r="DD7" s="467">
        <v>2023000</v>
      </c>
      <c r="DE7" s="467">
        <v>864000</v>
      </c>
      <c r="DF7" s="467">
        <v>561000</v>
      </c>
      <c r="DG7" s="467">
        <v>21339000</v>
      </c>
      <c r="DI7" s="467">
        <f t="shared" si="2"/>
        <v>1837094</v>
      </c>
      <c r="DJ7" s="467">
        <f t="shared" si="2"/>
        <v>715992</v>
      </c>
      <c r="DK7" s="467">
        <f t="shared" si="2"/>
        <v>409711</v>
      </c>
      <c r="DL7" s="467">
        <f t="shared" si="3"/>
        <v>21117000</v>
      </c>
      <c r="DN7" s="467">
        <v>7099000</v>
      </c>
      <c r="DO7" s="467">
        <v>2967000</v>
      </c>
      <c r="DP7" s="467">
        <v>1767000</v>
      </c>
      <c r="DQ7" s="467">
        <v>21117000</v>
      </c>
      <c r="DS7" s="467">
        <f t="shared" si="4"/>
        <v>1742661</v>
      </c>
      <c r="DT7" s="467">
        <f t="shared" si="4"/>
        <v>732217</v>
      </c>
      <c r="DU7" s="467">
        <f t="shared" si="4"/>
        <v>433296</v>
      </c>
      <c r="DV7" s="467">
        <f t="shared" si="5"/>
        <v>20704377</v>
      </c>
      <c r="DX7" s="467">
        <v>5261906</v>
      </c>
      <c r="DY7" s="467">
        <v>2251008</v>
      </c>
      <c r="DZ7" s="467">
        <v>1357289</v>
      </c>
      <c r="EA7" s="467">
        <v>20704377</v>
      </c>
      <c r="EC7" s="467">
        <f t="shared" si="6"/>
        <v>1713489</v>
      </c>
      <c r="ED7" s="467">
        <f>EI7-EN7</f>
        <v>776933</v>
      </c>
      <c r="EE7" s="467">
        <f t="shared" si="6"/>
        <v>478417</v>
      </c>
      <c r="EF7" s="467">
        <f t="shared" si="7"/>
        <v>20564755</v>
      </c>
      <c r="EH7" s="467">
        <v>3519245</v>
      </c>
      <c r="EI7" s="467">
        <v>1518791</v>
      </c>
      <c r="EJ7" s="467">
        <v>923993</v>
      </c>
      <c r="EK7" s="467">
        <v>20564755</v>
      </c>
      <c r="EM7" s="467">
        <v>1805756</v>
      </c>
      <c r="EN7" s="467">
        <v>741858</v>
      </c>
      <c r="EO7" s="467">
        <v>445576</v>
      </c>
      <c r="EP7" s="467">
        <v>20446819</v>
      </c>
      <c r="ER7" s="467">
        <f>EW7-FG7</f>
        <v>1787577</v>
      </c>
      <c r="ES7" s="467">
        <f t="shared" si="8"/>
        <v>606130</v>
      </c>
      <c r="ET7" s="467">
        <f t="shared" si="8"/>
        <v>305513</v>
      </c>
      <c r="EU7" s="467">
        <f t="shared" si="9"/>
        <v>20079215</v>
      </c>
      <c r="EW7" s="467">
        <v>6866354</v>
      </c>
      <c r="EX7" s="467">
        <v>3023006</v>
      </c>
      <c r="EY7" s="467">
        <v>1857009</v>
      </c>
      <c r="EZ7" s="467">
        <v>20079215</v>
      </c>
      <c r="FB7" s="467">
        <v>1720223</v>
      </c>
      <c r="FC7" s="467">
        <v>728175</v>
      </c>
      <c r="FD7" s="467">
        <v>436050</v>
      </c>
      <c r="FE7" s="467">
        <f t="shared" si="10"/>
        <v>19708418</v>
      </c>
      <c r="FG7" s="467">
        <v>5078777</v>
      </c>
      <c r="FH7" s="467">
        <v>2416876</v>
      </c>
      <c r="FI7" s="467">
        <v>1551496</v>
      </c>
      <c r="FJ7" s="467">
        <v>19708418</v>
      </c>
      <c r="FL7" s="467">
        <f t="shared" si="11"/>
        <v>1569529</v>
      </c>
      <c r="FM7" s="468">
        <f t="shared" si="11"/>
        <v>1005158</v>
      </c>
      <c r="FN7" s="467">
        <f t="shared" si="11"/>
        <v>715011</v>
      </c>
      <c r="FO7" s="467">
        <v>19569783</v>
      </c>
      <c r="FQ7" s="467">
        <v>3358554</v>
      </c>
      <c r="FR7" s="468">
        <v>1688701</v>
      </c>
      <c r="FS7" s="467">
        <v>1115446</v>
      </c>
      <c r="FT7" s="467">
        <v>19569783</v>
      </c>
      <c r="FV7" s="467">
        <v>1789025</v>
      </c>
      <c r="FW7" s="468">
        <v>683543</v>
      </c>
      <c r="FX7" s="467">
        <v>400435</v>
      </c>
      <c r="FY7" s="467">
        <v>19457317</v>
      </c>
      <c r="FZ7" s="5"/>
      <c r="GA7" s="341">
        <v>6594864</v>
      </c>
      <c r="GB7" s="342">
        <v>2605808</v>
      </c>
      <c r="GC7" s="341">
        <v>1443741</v>
      </c>
      <c r="GD7" s="341">
        <v>19176164</v>
      </c>
      <c r="GF7" s="341">
        <v>1696579</v>
      </c>
      <c r="GG7" s="342">
        <v>605677</v>
      </c>
      <c r="GH7" s="341">
        <v>302828</v>
      </c>
      <c r="GI7" s="341">
        <v>19176164</v>
      </c>
      <c r="GK7" s="341">
        <v>4898285</v>
      </c>
      <c r="GL7" s="342">
        <v>2000131</v>
      </c>
      <c r="GM7" s="341">
        <v>1140913</v>
      </c>
      <c r="GN7" s="341">
        <v>18653722</v>
      </c>
      <c r="GP7" s="341">
        <v>1622943</v>
      </c>
      <c r="GQ7" s="342">
        <v>662812</v>
      </c>
      <c r="GR7" s="341">
        <v>376185</v>
      </c>
      <c r="GS7" s="341">
        <v>18653722</v>
      </c>
      <c r="GV7" s="341">
        <v>3275342</v>
      </c>
      <c r="GW7" s="342">
        <v>1337319</v>
      </c>
      <c r="GX7" s="341">
        <v>764728</v>
      </c>
      <c r="GY7" s="341">
        <v>18478310</v>
      </c>
      <c r="HA7" s="341">
        <v>1594121</v>
      </c>
      <c r="HB7" s="342">
        <v>656124</v>
      </c>
      <c r="HC7" s="341">
        <v>377666</v>
      </c>
      <c r="HD7" s="341">
        <v>18478310</v>
      </c>
      <c r="HF7" s="341">
        <v>1681221</v>
      </c>
      <c r="HG7" s="342">
        <v>681195</v>
      </c>
      <c r="HH7" s="341">
        <v>387062</v>
      </c>
      <c r="HI7" s="341">
        <v>18267535</v>
      </c>
      <c r="HK7" s="341">
        <v>6158215</v>
      </c>
      <c r="HL7" s="341">
        <v>2517465</v>
      </c>
      <c r="HM7" s="341">
        <v>1417102</v>
      </c>
      <c r="HN7" s="341">
        <v>18345603</v>
      </c>
      <c r="HP7" s="341">
        <v>1589634</v>
      </c>
      <c r="HQ7" s="342">
        <v>560921</v>
      </c>
      <c r="HR7" s="341">
        <v>273743</v>
      </c>
      <c r="HS7" s="341">
        <v>18345603</v>
      </c>
      <c r="HU7" s="341">
        <v>4568581</v>
      </c>
      <c r="HV7" s="342">
        <v>1956544</v>
      </c>
      <c r="HW7" s="341">
        <v>1143359</v>
      </c>
      <c r="HX7" s="341">
        <v>17840427</v>
      </c>
      <c r="HZ7" s="341">
        <v>1481610</v>
      </c>
      <c r="IA7" s="342">
        <v>620731</v>
      </c>
      <c r="IB7" s="341">
        <v>346908</v>
      </c>
      <c r="IC7" s="341">
        <v>17840427</v>
      </c>
      <c r="IE7" s="166">
        <v>3463808</v>
      </c>
      <c r="IF7" s="319">
        <v>1335813</v>
      </c>
      <c r="IG7" s="166">
        <v>796451</v>
      </c>
      <c r="IH7" s="166">
        <v>17611246</v>
      </c>
      <c r="IJ7" s="166">
        <v>1674971</v>
      </c>
      <c r="IK7" s="319">
        <v>697700</v>
      </c>
      <c r="IL7" s="166">
        <v>424886</v>
      </c>
      <c r="IM7" s="166">
        <v>17611246</v>
      </c>
      <c r="IO7" s="156">
        <v>1788837</v>
      </c>
      <c r="IP7" s="183">
        <v>638113</v>
      </c>
      <c r="IQ7" s="156">
        <v>371565</v>
      </c>
      <c r="IR7" s="156">
        <v>17380517</v>
      </c>
      <c r="IT7" s="156">
        <v>6719943</v>
      </c>
      <c r="IU7" s="156">
        <v>2282685</v>
      </c>
      <c r="IV7" s="156">
        <v>1210925</v>
      </c>
      <c r="IW7" s="156">
        <v>17409160</v>
      </c>
      <c r="IY7" s="156">
        <v>1733033</v>
      </c>
      <c r="IZ7" s="183">
        <v>488087</v>
      </c>
      <c r="JA7" s="156">
        <v>212156</v>
      </c>
      <c r="JB7" s="156">
        <v>17409160</v>
      </c>
      <c r="JC7" s="157"/>
      <c r="JD7" s="156">
        <v>4986910</v>
      </c>
      <c r="JE7" s="156">
        <v>1794598</v>
      </c>
      <c r="JF7" s="156">
        <v>998769</v>
      </c>
      <c r="JG7" s="156">
        <v>16902087</v>
      </c>
      <c r="JH7" s="156"/>
      <c r="JI7" s="156">
        <v>1618916</v>
      </c>
      <c r="JJ7" s="156">
        <v>591288</v>
      </c>
      <c r="JK7" s="156">
        <v>321449</v>
      </c>
      <c r="JL7" s="156">
        <v>16902087</v>
      </c>
      <c r="JM7" s="157"/>
      <c r="JN7" s="156">
        <v>3367994</v>
      </c>
      <c r="JO7" s="156">
        <v>1203310</v>
      </c>
      <c r="JP7" s="156">
        <v>677320</v>
      </c>
      <c r="JQ7" s="156">
        <v>16825901</v>
      </c>
      <c r="JR7" s="157"/>
      <c r="JS7" s="156">
        <f t="shared" si="12"/>
        <v>1634573</v>
      </c>
      <c r="JT7" s="156">
        <f t="shared" si="12"/>
        <v>596299</v>
      </c>
      <c r="JU7" s="156">
        <f t="shared" si="12"/>
        <v>331709</v>
      </c>
      <c r="JV7" s="156">
        <f>KA7</f>
        <v>16773561</v>
      </c>
      <c r="JW7" s="157"/>
      <c r="JX7" s="156">
        <v>1733421</v>
      </c>
      <c r="JY7" s="156">
        <v>607011</v>
      </c>
      <c r="JZ7" s="156">
        <v>345611</v>
      </c>
      <c r="KA7" s="156">
        <v>16773561</v>
      </c>
      <c r="KB7" s="157"/>
      <c r="KC7" s="156">
        <v>6310216</v>
      </c>
      <c r="KD7" s="156">
        <v>2394812</v>
      </c>
      <c r="KE7" s="156">
        <v>1363236</v>
      </c>
      <c r="KF7" s="156">
        <v>16761938</v>
      </c>
      <c r="KG7" s="157"/>
      <c r="KH7" s="156">
        <v>1634118</v>
      </c>
      <c r="KI7" s="156">
        <v>685152</v>
      </c>
      <c r="KJ7" s="156">
        <v>416722</v>
      </c>
      <c r="KK7" s="156">
        <v>16761938</v>
      </c>
      <c r="KL7" s="157"/>
      <c r="KM7" s="156">
        <v>4676098</v>
      </c>
      <c r="KN7" s="156">
        <v>1709660</v>
      </c>
      <c r="KO7" s="156">
        <v>946514</v>
      </c>
      <c r="KP7" s="156">
        <v>16307098</v>
      </c>
      <c r="KQ7" s="157"/>
      <c r="KR7" s="156">
        <v>1531592</v>
      </c>
      <c r="KS7" s="156">
        <v>562063</v>
      </c>
      <c r="KT7" s="156">
        <v>302990</v>
      </c>
      <c r="KU7" s="156">
        <v>16307098</v>
      </c>
      <c r="KV7" s="157"/>
      <c r="KW7" s="156">
        <v>3144506</v>
      </c>
      <c r="KX7" s="156">
        <v>1147597</v>
      </c>
      <c r="KY7" s="156">
        <v>643524</v>
      </c>
      <c r="KZ7" s="156">
        <v>16152899</v>
      </c>
      <c r="LA7" s="157"/>
      <c r="LB7" s="156">
        <v>1528119</v>
      </c>
      <c r="LC7" s="156">
        <v>604338</v>
      </c>
      <c r="LD7" s="156">
        <v>351932</v>
      </c>
      <c r="LE7" s="156">
        <v>16152899</v>
      </c>
      <c r="LF7" s="157"/>
      <c r="LG7" s="156">
        <v>1616387</v>
      </c>
      <c r="LH7" s="156">
        <v>543259</v>
      </c>
      <c r="LI7" s="156">
        <v>291592</v>
      </c>
      <c r="LJ7" s="156">
        <v>16019643</v>
      </c>
      <c r="LK7" s="157"/>
      <c r="LL7" s="156">
        <v>6450274</v>
      </c>
      <c r="LM7" s="156">
        <v>2372129</v>
      </c>
      <c r="LN7" s="156">
        <v>1371577</v>
      </c>
      <c r="LO7" s="156">
        <v>15974893</v>
      </c>
      <c r="LP7" s="163"/>
      <c r="LQ7" s="156">
        <v>1657399</v>
      </c>
      <c r="LR7" s="156">
        <v>532836</v>
      </c>
      <c r="LS7" s="156">
        <v>264854</v>
      </c>
      <c r="LT7" s="156">
        <v>15974893</v>
      </c>
      <c r="LU7" s="163"/>
      <c r="LV7" s="156">
        <v>4792875</v>
      </c>
      <c r="LW7" s="156">
        <v>1839293</v>
      </c>
      <c r="LX7" s="156">
        <v>1106723</v>
      </c>
      <c r="LY7" s="156">
        <v>15402617</v>
      </c>
      <c r="LZ7" s="157"/>
      <c r="MA7" s="156">
        <v>1564518</v>
      </c>
      <c r="MB7" s="156">
        <v>596633</v>
      </c>
      <c r="MC7" s="156">
        <v>348307</v>
      </c>
      <c r="MD7" s="156">
        <v>15402617</v>
      </c>
      <c r="ME7" s="157"/>
      <c r="MF7" s="156">
        <v>3228357</v>
      </c>
      <c r="MG7" s="156">
        <v>1243279</v>
      </c>
      <c r="MH7" s="156">
        <v>758416</v>
      </c>
      <c r="MI7" s="156">
        <v>15222418</v>
      </c>
      <c r="MJ7" s="157"/>
      <c r="MK7" s="156">
        <v>1585385</v>
      </c>
      <c r="ML7" s="156">
        <v>696539</v>
      </c>
      <c r="MM7" s="156">
        <v>453363</v>
      </c>
      <c r="MN7" s="156">
        <v>15222418</v>
      </c>
      <c r="MO7" s="157"/>
      <c r="MP7" s="156">
        <v>1642972</v>
      </c>
      <c r="MQ7" s="156">
        <v>546740</v>
      </c>
      <c r="MR7" s="156">
        <v>305053</v>
      </c>
      <c r="MS7" s="156">
        <v>15087347</v>
      </c>
      <c r="MT7" s="157"/>
      <c r="MU7" s="163" t="s">
        <v>83</v>
      </c>
      <c r="MV7" s="156">
        <v>280998</v>
      </c>
      <c r="MW7" s="156">
        <v>180166</v>
      </c>
      <c r="MX7" s="156">
        <v>102577</v>
      </c>
      <c r="MY7" s="180">
        <v>1985920</v>
      </c>
      <c r="MZ7" s="157"/>
      <c r="NA7" s="156">
        <v>215979</v>
      </c>
      <c r="NB7" s="156">
        <v>142418</v>
      </c>
      <c r="NC7" s="156">
        <v>82343</v>
      </c>
      <c r="ND7" s="180">
        <v>1929270</v>
      </c>
      <c r="NE7" s="157"/>
      <c r="NF7" s="156">
        <v>144900</v>
      </c>
      <c r="NG7" s="156">
        <v>96716</v>
      </c>
      <c r="NH7" s="156">
        <v>56649</v>
      </c>
      <c r="NI7" s="180">
        <v>1929486</v>
      </c>
      <c r="NJ7" s="157"/>
      <c r="NK7" s="157"/>
      <c r="NL7" s="157"/>
      <c r="NM7" s="157"/>
      <c r="NN7" s="157"/>
      <c r="NO7" s="157"/>
      <c r="NP7" s="157"/>
      <c r="NQ7" s="157"/>
      <c r="NR7" s="157"/>
      <c r="NS7" s="157"/>
      <c r="NT7" s="157"/>
      <c r="NU7" s="157"/>
      <c r="NV7" s="157"/>
      <c r="NW7" s="157"/>
      <c r="NX7" s="157"/>
      <c r="NY7" s="157"/>
      <c r="NZ7" s="157"/>
      <c r="OA7" s="157"/>
      <c r="OB7" s="157"/>
      <c r="OC7" s="157"/>
      <c r="OD7" s="157"/>
      <c r="OE7" s="157"/>
      <c r="OF7" s="157"/>
      <c r="OG7" s="157"/>
      <c r="OH7" s="157"/>
      <c r="OI7" s="157"/>
      <c r="OJ7" s="157"/>
      <c r="OK7" s="157"/>
      <c r="OL7" s="157"/>
      <c r="OM7" s="157"/>
      <c r="ON7" s="157"/>
      <c r="OO7" s="157"/>
      <c r="OP7" s="157"/>
      <c r="OQ7" s="157"/>
      <c r="OR7" s="157"/>
      <c r="OS7" s="157"/>
      <c r="OT7" s="157"/>
      <c r="OU7" s="157"/>
      <c r="OV7" s="157"/>
      <c r="OW7" s="157"/>
      <c r="OX7" s="157"/>
      <c r="OY7" s="157"/>
      <c r="OZ7" s="157"/>
      <c r="PA7" s="157"/>
    </row>
    <row r="8" spans="1:417">
      <c r="A8" s="59" t="s">
        <v>79</v>
      </c>
      <c r="C8" s="686">
        <f>([3]segmenty!$F$9)*1000</f>
        <v>6641000</v>
      </c>
      <c r="D8" s="686">
        <f>([3]segmenty!$F$34)*1000</f>
        <v>448000</v>
      </c>
      <c r="E8" s="686">
        <f>([3]segmenty!$F$31)*1000</f>
        <v>447000</v>
      </c>
      <c r="F8" s="686">
        <f>([3]segmenty!$F$25)*1000</f>
        <v>6138000</v>
      </c>
      <c r="H8" s="686">
        <f>[4]segmenty!$F$9*1000</f>
        <v>27230000</v>
      </c>
      <c r="I8" s="686">
        <f>[4]segmenty!$F$34*1000</f>
        <v>598000</v>
      </c>
      <c r="J8" s="686">
        <f>[4]segmenty!$F$31*1000</f>
        <v>547000</v>
      </c>
      <c r="K8" s="686">
        <f>[4]segmenty!$F$25*1000</f>
        <v>5132000</v>
      </c>
      <c r="M8" s="686">
        <f t="shared" si="23"/>
        <v>6700000</v>
      </c>
      <c r="N8" s="686">
        <f t="shared" si="13"/>
        <v>-109000</v>
      </c>
      <c r="O8" s="686">
        <f t="shared" si="13"/>
        <v>-119000</v>
      </c>
      <c r="P8" s="686">
        <f t="shared" si="14"/>
        <v>5132000</v>
      </c>
      <c r="R8" s="686">
        <f>([5]segmenty!$F$9)*1000+406000</f>
        <v>20530000</v>
      </c>
      <c r="S8" s="686">
        <f>([5]segmenty!$F$34)*1000-55000</f>
        <v>707000</v>
      </c>
      <c r="T8" s="686">
        <f>([5]segmenty!$F$31)*1000-55000</f>
        <v>666000</v>
      </c>
      <c r="U8" s="686">
        <f>([5]segmenty!$F$25)*1000</f>
        <v>5215000</v>
      </c>
      <c r="W8" s="686">
        <f>('[5]segmenty 3 m-ce'!$F$69)*1000+2000</f>
        <v>8423000</v>
      </c>
      <c r="X8" s="686">
        <f>('[5]segmenty 3 m-ce'!$F$84)*1000+3000</f>
        <v>66000</v>
      </c>
      <c r="Y8" s="686">
        <f>('[5]segmenty 3 m-ce'!$F$81)*1000+3000</f>
        <v>51000</v>
      </c>
      <c r="Z8" s="686">
        <f t="shared" si="15"/>
        <v>5215000</v>
      </c>
      <c r="AB8" s="686">
        <f>11703000+404000</f>
        <v>12107000</v>
      </c>
      <c r="AC8" s="686">
        <f>699000-58000</f>
        <v>641000</v>
      </c>
      <c r="AD8" s="686">
        <f>673000-58000</f>
        <v>615000</v>
      </c>
      <c r="AE8" s="686">
        <v>5370000</v>
      </c>
      <c r="AG8" s="686">
        <f>5199000+62000</f>
        <v>5261000</v>
      </c>
      <c r="AH8" s="686">
        <f>363000-7000</f>
        <v>356000</v>
      </c>
      <c r="AI8" s="686">
        <f>350000-7000</f>
        <v>343000</v>
      </c>
      <c r="AJ8" s="686">
        <f t="shared" si="16"/>
        <v>5370000</v>
      </c>
      <c r="AL8" s="686">
        <v>6802000</v>
      </c>
      <c r="AM8" s="686">
        <f>[6]segmenty!$E$34*1000-51000-11000</f>
        <v>273000</v>
      </c>
      <c r="AN8" s="686">
        <f>[6]segmenty!$E$31*1000-51000+1000</f>
        <v>272000</v>
      </c>
      <c r="AO8" s="686">
        <f>[6]segmenty!$E$25*1000</f>
        <v>6851000</v>
      </c>
      <c r="AQ8" s="686">
        <f>([7]segmenty!$E$9)*1000</f>
        <v>35803000</v>
      </c>
      <c r="AR8" s="686">
        <f>([7]segmenty!$E$34)*1000</f>
        <v>568000</v>
      </c>
      <c r="AS8" s="686">
        <f>([7]segmenty!$E$31)*1000</f>
        <v>522000</v>
      </c>
      <c r="AT8" s="686">
        <f>([7]segmenty!$E$25)*1000</f>
        <v>8550000</v>
      </c>
      <c r="AV8" s="686">
        <f t="shared" si="17"/>
        <v>8533000</v>
      </c>
      <c r="AW8" s="686">
        <f t="shared" si="17"/>
        <v>112000</v>
      </c>
      <c r="AX8" s="686">
        <f t="shared" si="17"/>
        <v>108000</v>
      </c>
      <c r="AY8" s="686">
        <f t="shared" si="18"/>
        <v>8550000</v>
      </c>
      <c r="BA8" s="686">
        <f>([8]segmenty!$E$9)*1000</f>
        <v>27270000</v>
      </c>
      <c r="BB8" s="686">
        <f>([8]segmenty!$E$34)*1000</f>
        <v>456000</v>
      </c>
      <c r="BC8" s="686">
        <f>([8]segmenty!$E$31)*1000</f>
        <v>414000</v>
      </c>
      <c r="BD8" s="686">
        <f>([8]segmenty!$E$25)*1000</f>
        <v>8842000</v>
      </c>
      <c r="BF8" s="686">
        <f>('[8]segmenty 3 m-ce PREZ'!$E$9)*1000</f>
        <v>6349000</v>
      </c>
      <c r="BG8" s="686">
        <f>('[8]segmenty 3 m-ce PREZ'!$E$16)*1000</f>
        <v>-91000</v>
      </c>
      <c r="BH8" s="686">
        <f>('[8]segmenty 3 m-ce PREZ'!$E$12)*1000</f>
        <v>-104000</v>
      </c>
      <c r="BI8" s="686">
        <f t="shared" si="19"/>
        <v>8842000</v>
      </c>
      <c r="BK8" s="686">
        <f>[9]segmenty!$E$9*1000</f>
        <v>20921000</v>
      </c>
      <c r="BL8" s="686">
        <f>[9]segmenty!$E$34*1000</f>
        <v>547000</v>
      </c>
      <c r="BM8" s="686">
        <f>[9]segmenty!$E$31*1000</f>
        <v>518000</v>
      </c>
      <c r="BN8" s="686">
        <f>[9]segmenty!$E$25*1000</f>
        <v>8069000</v>
      </c>
      <c r="BP8" s="686">
        <f>('[9]segmenty 3 m-ce'!$E$69)*1000</f>
        <v>8689000</v>
      </c>
      <c r="BQ8" s="686">
        <f>('[9]segmenty 3 m-ce'!$E$84)*1000</f>
        <v>402000</v>
      </c>
      <c r="BR8" s="686">
        <f>('[9]segmenty 3 m-ce'!$E$81)*1000</f>
        <v>386000</v>
      </c>
      <c r="BS8" s="686">
        <f t="shared" si="20"/>
        <v>8069000</v>
      </c>
      <c r="BU8" s="686">
        <f>[10]segmenty!$E$9*1000</f>
        <v>12232000</v>
      </c>
      <c r="BV8" s="686">
        <f>[10]segmenty!$E$34*1000</f>
        <v>145000</v>
      </c>
      <c r="BW8" s="686">
        <f>[10]segmenty!$E$31*1000</f>
        <v>132000</v>
      </c>
      <c r="BX8" s="686">
        <f>[10]segmenty!$E$25*1000</f>
        <v>10826000</v>
      </c>
      <c r="BZ8" s="686">
        <f t="shared" si="21"/>
        <v>9180000</v>
      </c>
      <c r="CA8" s="686">
        <f t="shared" si="21"/>
        <v>85000</v>
      </c>
      <c r="CB8" s="686">
        <f t="shared" si="21"/>
        <v>74000</v>
      </c>
      <c r="CC8" s="686">
        <f t="shared" si="22"/>
        <v>6701000</v>
      </c>
      <c r="CE8" s="686">
        <v>35491000</v>
      </c>
      <c r="CF8" s="686">
        <v>594000</v>
      </c>
      <c r="CG8" s="686">
        <v>550000</v>
      </c>
      <c r="CH8" s="686">
        <v>6701000</v>
      </c>
      <c r="CJ8" s="467">
        <v>8058000</v>
      </c>
      <c r="CK8" s="467">
        <v>468000</v>
      </c>
      <c r="CL8" s="467">
        <v>457000</v>
      </c>
      <c r="CM8" s="467">
        <f t="shared" si="0"/>
        <v>6480000</v>
      </c>
      <c r="CO8" s="467">
        <v>26311000</v>
      </c>
      <c r="CP8" s="467">
        <v>509000</v>
      </c>
      <c r="CQ8" s="467">
        <v>476000</v>
      </c>
      <c r="CR8" s="467">
        <v>6480000</v>
      </c>
      <c r="CT8" s="467">
        <f t="shared" si="1"/>
        <v>7670000</v>
      </c>
      <c r="CU8" s="467">
        <f t="shared" si="1"/>
        <v>144000</v>
      </c>
      <c r="CV8" s="467">
        <f t="shared" si="1"/>
        <v>132000</v>
      </c>
      <c r="CW8" s="467">
        <v>5667000</v>
      </c>
      <c r="CY8" s="467">
        <v>18257000</v>
      </c>
      <c r="CZ8" s="467">
        <v>41000</v>
      </c>
      <c r="DA8" s="467">
        <v>19000</v>
      </c>
      <c r="DB8" s="467">
        <v>5667000</v>
      </c>
      <c r="DD8" s="467">
        <v>10587000</v>
      </c>
      <c r="DE8" s="467">
        <v>-103000</v>
      </c>
      <c r="DF8" s="467">
        <v>-113000</v>
      </c>
      <c r="DG8" s="467">
        <v>5899000</v>
      </c>
      <c r="DI8" s="467">
        <f t="shared" si="2"/>
        <v>7795708</v>
      </c>
      <c r="DJ8" s="467">
        <f t="shared" si="2"/>
        <v>-500916</v>
      </c>
      <c r="DK8" s="467">
        <f t="shared" si="2"/>
        <v>-510152</v>
      </c>
      <c r="DL8" s="467">
        <f t="shared" si="3"/>
        <v>4508000</v>
      </c>
      <c r="DN8" s="467">
        <v>24134000</v>
      </c>
      <c r="DO8" s="467">
        <v>-524000</v>
      </c>
      <c r="DP8" s="467">
        <v>-564000</v>
      </c>
      <c r="DQ8" s="467">
        <v>4508000</v>
      </c>
      <c r="DS8" s="467">
        <f t="shared" si="4"/>
        <v>5613346</v>
      </c>
      <c r="DT8" s="467">
        <f t="shared" si="4"/>
        <v>-259613</v>
      </c>
      <c r="DU8" s="467">
        <f t="shared" si="4"/>
        <v>-270528</v>
      </c>
      <c r="DV8" s="467">
        <f t="shared" si="5"/>
        <v>4393222</v>
      </c>
      <c r="DX8" s="467">
        <v>16338292</v>
      </c>
      <c r="DY8" s="467">
        <v>-23084</v>
      </c>
      <c r="DZ8" s="467">
        <v>-53848</v>
      </c>
      <c r="EA8" s="467">
        <v>4393222</v>
      </c>
      <c r="EC8" s="467">
        <f t="shared" si="6"/>
        <v>4644755</v>
      </c>
      <c r="ED8" s="467">
        <f t="shared" si="6"/>
        <v>2408</v>
      </c>
      <c r="EE8" s="467">
        <f t="shared" si="6"/>
        <v>-7803</v>
      </c>
      <c r="EF8" s="467">
        <f t="shared" si="7"/>
        <v>4415857</v>
      </c>
      <c r="EH8" s="467">
        <v>10724946</v>
      </c>
      <c r="EI8" s="467">
        <v>236529</v>
      </c>
      <c r="EJ8" s="467">
        <v>216680</v>
      </c>
      <c r="EK8" s="467">
        <v>4415857</v>
      </c>
      <c r="EM8" s="467">
        <v>6080191</v>
      </c>
      <c r="EN8" s="467">
        <v>234121</v>
      </c>
      <c r="EO8" s="467">
        <v>224483</v>
      </c>
      <c r="EP8" s="467">
        <v>5326016</v>
      </c>
      <c r="ER8" s="467">
        <f t="shared" si="8"/>
        <v>5098664</v>
      </c>
      <c r="ES8" s="467">
        <f t="shared" si="8"/>
        <v>42809</v>
      </c>
      <c r="ET8" s="467">
        <f t="shared" si="8"/>
        <v>34247</v>
      </c>
      <c r="EU8" s="467">
        <f t="shared" si="9"/>
        <v>4614093</v>
      </c>
      <c r="EW8" s="467">
        <v>17249258</v>
      </c>
      <c r="EX8" s="467">
        <v>683352</v>
      </c>
      <c r="EY8" s="467">
        <v>641648</v>
      </c>
      <c r="EZ8" s="467">
        <v>4614093</v>
      </c>
      <c r="FB8" s="467">
        <v>4136093</v>
      </c>
      <c r="FC8" s="467">
        <v>237639</v>
      </c>
      <c r="FD8" s="467">
        <v>228215</v>
      </c>
      <c r="FE8" s="467">
        <f t="shared" si="10"/>
        <v>4015581</v>
      </c>
      <c r="FG8" s="467">
        <v>12150594</v>
      </c>
      <c r="FH8" s="467">
        <v>640543</v>
      </c>
      <c r="FI8" s="467">
        <v>607401</v>
      </c>
      <c r="FJ8" s="467">
        <v>4015581</v>
      </c>
      <c r="FL8" s="467">
        <f t="shared" si="11"/>
        <v>3783659</v>
      </c>
      <c r="FM8" s="468">
        <f t="shared" si="11"/>
        <v>220472</v>
      </c>
      <c r="FN8" s="467">
        <f t="shared" si="11"/>
        <v>208415</v>
      </c>
      <c r="FO8" s="467">
        <v>3932067</v>
      </c>
      <c r="FQ8" s="467">
        <v>8014501</v>
      </c>
      <c r="FR8" s="468">
        <v>402904</v>
      </c>
      <c r="FS8" s="467">
        <v>379186</v>
      </c>
      <c r="FT8" s="467">
        <v>3932067</v>
      </c>
      <c r="FV8" s="467">
        <v>4230842</v>
      </c>
      <c r="FW8" s="468">
        <v>182432</v>
      </c>
      <c r="FX8" s="467">
        <v>170771</v>
      </c>
      <c r="FY8" s="467">
        <v>5683262</v>
      </c>
      <c r="FZ8" s="5"/>
      <c r="GA8" s="341">
        <v>14907937</v>
      </c>
      <c r="GB8" s="342">
        <v>428577</v>
      </c>
      <c r="GC8" s="341">
        <v>382185</v>
      </c>
      <c r="GD8" s="341">
        <v>4730135</v>
      </c>
      <c r="GF8" s="341">
        <v>4508216</v>
      </c>
      <c r="GG8" s="342">
        <v>-105072</v>
      </c>
      <c r="GH8" s="341">
        <v>-121577</v>
      </c>
      <c r="GI8" s="341">
        <v>4730135</v>
      </c>
      <c r="GK8" s="341">
        <v>11221177</v>
      </c>
      <c r="GL8" s="342">
        <v>533649</v>
      </c>
      <c r="GM8" s="341">
        <v>503762</v>
      </c>
      <c r="GN8" s="341">
        <v>5467453</v>
      </c>
      <c r="GP8" s="341">
        <v>3574882</v>
      </c>
      <c r="GQ8" s="342">
        <v>110407</v>
      </c>
      <c r="GR8" s="341">
        <v>100132</v>
      </c>
      <c r="GS8" s="341">
        <v>5467453</v>
      </c>
      <c r="GV8" s="341">
        <v>7646295</v>
      </c>
      <c r="GW8" s="342">
        <v>423242</v>
      </c>
      <c r="GX8" s="341">
        <v>403630</v>
      </c>
      <c r="GY8" s="341">
        <v>5007556</v>
      </c>
      <c r="HA8" s="341">
        <v>3734873</v>
      </c>
      <c r="HB8" s="342">
        <v>258311</v>
      </c>
      <c r="HC8" s="341">
        <v>248406</v>
      </c>
      <c r="HD8" s="341">
        <v>5007556</v>
      </c>
      <c r="HF8" s="341">
        <v>3911422</v>
      </c>
      <c r="HG8" s="342">
        <v>164931</v>
      </c>
      <c r="HH8" s="341">
        <v>155224</v>
      </c>
      <c r="HI8" s="341">
        <v>4159845</v>
      </c>
      <c r="HK8" s="341">
        <v>14074115</v>
      </c>
      <c r="HL8" s="341">
        <v>320543</v>
      </c>
      <c r="HM8" s="341">
        <v>306481</v>
      </c>
      <c r="HN8" s="341">
        <v>3379688</v>
      </c>
      <c r="HP8" s="341">
        <v>4246144</v>
      </c>
      <c r="HQ8" s="342">
        <v>-130503</v>
      </c>
      <c r="HR8" s="341">
        <v>-139147</v>
      </c>
      <c r="HS8" s="341">
        <v>3379688</v>
      </c>
      <c r="HU8" s="341">
        <v>9827971</v>
      </c>
      <c r="HV8" s="342">
        <v>451046</v>
      </c>
      <c r="HW8" s="341">
        <v>445628</v>
      </c>
      <c r="HX8" s="341">
        <v>3730514</v>
      </c>
      <c r="HZ8" s="341">
        <v>3415412</v>
      </c>
      <c r="IA8" s="342">
        <v>124688</v>
      </c>
      <c r="IB8" s="341">
        <v>123068</v>
      </c>
      <c r="IC8" s="341">
        <v>3730514</v>
      </c>
      <c r="IE8" s="166">
        <v>6615132</v>
      </c>
      <c r="IF8" s="319">
        <v>326358</v>
      </c>
      <c r="IG8" s="166">
        <v>322560</v>
      </c>
      <c r="IH8" s="166">
        <v>2748081</v>
      </c>
      <c r="IJ8" s="166">
        <v>3161469</v>
      </c>
      <c r="IK8" s="319">
        <v>148570</v>
      </c>
      <c r="IL8" s="166">
        <v>146778</v>
      </c>
      <c r="IM8" s="166">
        <v>2748081</v>
      </c>
      <c r="IO8" s="156">
        <v>3453663</v>
      </c>
      <c r="IP8" s="183">
        <v>177788</v>
      </c>
      <c r="IQ8" s="156">
        <v>175782</v>
      </c>
      <c r="IR8" s="156">
        <v>2878641</v>
      </c>
      <c r="IT8" s="156">
        <v>13567887</v>
      </c>
      <c r="IU8" s="156">
        <v>841222</v>
      </c>
      <c r="IV8" s="156">
        <v>832216</v>
      </c>
      <c r="IW8" s="156">
        <v>3041966</v>
      </c>
      <c r="IY8" s="156">
        <v>3760678</v>
      </c>
      <c r="IZ8" s="183">
        <v>150244</v>
      </c>
      <c r="JA8" s="156">
        <v>148297</v>
      </c>
      <c r="JB8" s="156">
        <v>3041966</v>
      </c>
      <c r="JC8" s="157"/>
      <c r="JD8" s="156">
        <v>9807209</v>
      </c>
      <c r="JE8" s="156">
        <v>690978</v>
      </c>
      <c r="JF8" s="156">
        <v>683919</v>
      </c>
      <c r="JG8" s="156">
        <v>4130769</v>
      </c>
      <c r="JH8" s="156"/>
      <c r="JI8" s="156">
        <v>3130213</v>
      </c>
      <c r="JJ8" s="156">
        <v>145582</v>
      </c>
      <c r="JK8" s="156">
        <v>143502</v>
      </c>
      <c r="JL8" s="156">
        <v>4130769</v>
      </c>
      <c r="JM8" s="157"/>
      <c r="JN8" s="156">
        <v>6676996</v>
      </c>
      <c r="JO8" s="156">
        <v>545396</v>
      </c>
      <c r="JP8" s="156">
        <v>540417</v>
      </c>
      <c r="JQ8" s="156">
        <v>2033300</v>
      </c>
      <c r="JR8" s="157"/>
      <c r="JS8" s="156">
        <f t="shared" si="12"/>
        <v>3059559</v>
      </c>
      <c r="JT8" s="156">
        <f t="shared" si="12"/>
        <v>165425</v>
      </c>
      <c r="JU8" s="156">
        <f t="shared" si="12"/>
        <v>163143</v>
      </c>
      <c r="JV8" s="156">
        <f>KA8</f>
        <v>2252443</v>
      </c>
      <c r="JW8" s="157"/>
      <c r="JX8" s="156">
        <v>3617437</v>
      </c>
      <c r="JY8" s="156">
        <v>379971</v>
      </c>
      <c r="JZ8" s="156">
        <v>377274</v>
      </c>
      <c r="KA8" s="156">
        <v>2252443</v>
      </c>
      <c r="KB8" s="157"/>
      <c r="KC8" s="156">
        <v>14016190</v>
      </c>
      <c r="KD8" s="156">
        <v>490005</v>
      </c>
      <c r="KE8" s="156">
        <v>479374</v>
      </c>
      <c r="KF8" s="156">
        <v>2659458</v>
      </c>
      <c r="KG8" s="157"/>
      <c r="KH8" s="156">
        <v>3729207</v>
      </c>
      <c r="KI8" s="156">
        <v>92886</v>
      </c>
      <c r="KJ8" s="156">
        <v>90563</v>
      </c>
      <c r="KK8" s="156">
        <v>2659458</v>
      </c>
      <c r="KL8" s="157"/>
      <c r="KM8" s="156">
        <v>10286983</v>
      </c>
      <c r="KN8" s="156">
        <v>397119</v>
      </c>
      <c r="KO8" s="156">
        <v>388811</v>
      </c>
      <c r="KP8" s="156">
        <v>2204864</v>
      </c>
      <c r="KQ8" s="157"/>
      <c r="KR8" s="156">
        <v>3299797</v>
      </c>
      <c r="KS8" s="156">
        <v>117315</v>
      </c>
      <c r="KT8" s="156">
        <v>114921</v>
      </c>
      <c r="KU8" s="156">
        <v>2204864</v>
      </c>
      <c r="KV8" s="157"/>
      <c r="KW8" s="156">
        <v>6987186</v>
      </c>
      <c r="KX8" s="156">
        <v>279804</v>
      </c>
      <c r="KY8" s="156">
        <v>273890</v>
      </c>
      <c r="KZ8" s="156">
        <v>2310378</v>
      </c>
      <c r="LA8" s="157"/>
      <c r="LB8" s="156">
        <v>3395998</v>
      </c>
      <c r="LC8" s="156">
        <v>113042</v>
      </c>
      <c r="LD8" s="156">
        <v>113669</v>
      </c>
      <c r="LE8" s="156">
        <v>2310378</v>
      </c>
      <c r="LF8" s="157"/>
      <c r="LG8" s="156">
        <v>3591188</v>
      </c>
      <c r="LH8" s="156">
        <v>166762</v>
      </c>
      <c r="LI8" s="156">
        <v>160221</v>
      </c>
      <c r="LJ8" s="156">
        <v>2398142</v>
      </c>
      <c r="LK8" s="157"/>
      <c r="LL8" s="156">
        <v>15984139</v>
      </c>
      <c r="LM8" s="156">
        <v>380480</v>
      </c>
      <c r="LN8" s="156">
        <v>369604</v>
      </c>
      <c r="LO8" s="156">
        <v>2706907</v>
      </c>
      <c r="LP8" s="163"/>
      <c r="LQ8" s="156">
        <v>4170986</v>
      </c>
      <c r="LR8" s="156">
        <v>-71455</v>
      </c>
      <c r="LS8" s="156">
        <v>-74193</v>
      </c>
      <c r="LT8" s="156">
        <v>2706907</v>
      </c>
      <c r="LU8" s="163"/>
      <c r="LV8" s="156">
        <v>11813153</v>
      </c>
      <c r="LW8" s="156">
        <v>451935</v>
      </c>
      <c r="LX8" s="156">
        <v>443797</v>
      </c>
      <c r="LY8" s="156">
        <v>3016254</v>
      </c>
      <c r="LZ8" s="157"/>
      <c r="MA8" s="156">
        <v>3719173</v>
      </c>
      <c r="MB8" s="156">
        <v>116782</v>
      </c>
      <c r="MC8" s="156">
        <v>114042</v>
      </c>
      <c r="MD8" s="156">
        <v>3016254</v>
      </c>
      <c r="ME8" s="157"/>
      <c r="MF8" s="156">
        <v>8093980</v>
      </c>
      <c r="MG8" s="156">
        <v>335153</v>
      </c>
      <c r="MH8" s="156">
        <v>329755</v>
      </c>
      <c r="MI8" s="156">
        <v>2836963</v>
      </c>
      <c r="MJ8" s="157"/>
      <c r="MK8" s="156">
        <v>3915698</v>
      </c>
      <c r="ML8" s="156">
        <v>141382</v>
      </c>
      <c r="MM8" s="156">
        <v>138710</v>
      </c>
      <c r="MN8" s="156">
        <v>2836963</v>
      </c>
      <c r="MO8" s="157"/>
      <c r="MP8" s="156">
        <v>4178282</v>
      </c>
      <c r="MQ8" s="156">
        <v>193771</v>
      </c>
      <c r="MR8" s="156">
        <v>191045</v>
      </c>
      <c r="MS8" s="156">
        <v>3003005</v>
      </c>
      <c r="MT8" s="157"/>
      <c r="MU8" s="163" t="s">
        <v>84</v>
      </c>
      <c r="MV8" s="156">
        <v>1355454</v>
      </c>
      <c r="MW8" s="156">
        <v>308407</v>
      </c>
      <c r="MX8" s="156">
        <v>158763</v>
      </c>
      <c r="MY8" s="156">
        <v>2781001</v>
      </c>
      <c r="MZ8" s="157"/>
      <c r="NA8" s="156">
        <v>966998</v>
      </c>
      <c r="NB8" s="156">
        <v>181802</v>
      </c>
      <c r="NC8" s="156">
        <v>71156</v>
      </c>
      <c r="ND8" s="156">
        <v>3101958</v>
      </c>
      <c r="NE8" s="157"/>
      <c r="NF8" s="156">
        <v>717877</v>
      </c>
      <c r="NG8" s="156">
        <v>165226</v>
      </c>
      <c r="NH8" s="156">
        <v>92480</v>
      </c>
      <c r="NI8" s="156">
        <v>2962505</v>
      </c>
      <c r="NJ8" s="157"/>
      <c r="NK8" s="157"/>
      <c r="NL8" s="157"/>
      <c r="NM8" s="157"/>
      <c r="NN8" s="157"/>
      <c r="NO8" s="157"/>
      <c r="NP8" s="157"/>
      <c r="NQ8" s="157"/>
      <c r="NR8" s="157"/>
      <c r="NS8" s="157"/>
      <c r="NT8" s="157"/>
      <c r="NU8" s="157"/>
      <c r="NV8" s="157"/>
      <c r="NW8" s="157"/>
      <c r="NX8" s="157"/>
      <c r="NY8" s="157"/>
      <c r="NZ8" s="157"/>
      <c r="OA8" s="157"/>
      <c r="OB8" s="157"/>
      <c r="OC8" s="157"/>
      <c r="OD8" s="157"/>
      <c r="OE8" s="157"/>
      <c r="OF8" s="157"/>
      <c r="OG8" s="157"/>
      <c r="OH8" s="157"/>
      <c r="OI8" s="157"/>
      <c r="OJ8" s="157"/>
      <c r="OK8" s="157"/>
      <c r="OL8" s="157"/>
      <c r="OM8" s="157"/>
      <c r="ON8" s="157"/>
      <c r="OO8" s="157"/>
      <c r="OP8" s="157"/>
      <c r="OQ8" s="157"/>
      <c r="OR8" s="157"/>
      <c r="OS8" s="157"/>
      <c r="OT8" s="157"/>
      <c r="OU8" s="157"/>
      <c r="OV8" s="157"/>
      <c r="OW8" s="157"/>
      <c r="OX8" s="157"/>
      <c r="OY8" s="157"/>
      <c r="OZ8" s="157"/>
      <c r="PA8" s="157"/>
    </row>
    <row r="9" spans="1:417">
      <c r="A9" s="59" t="s">
        <v>80</v>
      </c>
      <c r="C9" s="686">
        <f>([3]segmenty!$G$9)*1000</f>
        <v>369000</v>
      </c>
      <c r="D9" s="686">
        <f>([3]segmenty!$G$34)*1000</f>
        <v>102000</v>
      </c>
      <c r="E9" s="686">
        <f>([3]segmenty!$G$31)*1000</f>
        <v>38000</v>
      </c>
      <c r="F9" s="686">
        <f>([3]segmenty!$G$25)*1000</f>
        <v>1889000</v>
      </c>
      <c r="H9" s="686">
        <f>[4]segmenty!$G$9*1000</f>
        <v>1215000</v>
      </c>
      <c r="I9" s="686">
        <f>[4]segmenty!$G$34*1000</f>
        <v>359000</v>
      </c>
      <c r="J9" s="686">
        <f>[4]segmenty!$G$31*1000</f>
        <v>118000</v>
      </c>
      <c r="K9" s="686">
        <f>[4]segmenty!$G$25*1000</f>
        <v>1210000</v>
      </c>
      <c r="M9" s="686">
        <f t="shared" si="23"/>
        <v>278000</v>
      </c>
      <c r="N9" s="686">
        <f t="shared" si="13"/>
        <v>45000</v>
      </c>
      <c r="O9" s="686">
        <f t="shared" si="13"/>
        <v>-28000</v>
      </c>
      <c r="P9" s="686">
        <f t="shared" si="14"/>
        <v>1210000</v>
      </c>
      <c r="R9" s="686">
        <f>([5]segmenty!$G$9)*1000</f>
        <v>937000</v>
      </c>
      <c r="S9" s="686">
        <f>([5]segmenty!$G$34)*1000</f>
        <v>314000</v>
      </c>
      <c r="T9" s="686">
        <f>([5]segmenty!$G$31)*1000</f>
        <v>146000</v>
      </c>
      <c r="U9" s="686">
        <f>([5]segmenty!$G$25)*1000</f>
        <v>1265000</v>
      </c>
      <c r="W9" s="686">
        <f>('[5]segmenty 3 m-ce'!$G$69)*1000</f>
        <v>309000</v>
      </c>
      <c r="X9" s="686">
        <f>('[5]segmenty 3 m-ce'!$G$84)*1000</f>
        <v>100000</v>
      </c>
      <c r="Y9" s="686">
        <f>('[5]segmenty 3 m-ce'!$G$81)*1000</f>
        <v>43000</v>
      </c>
      <c r="Z9" s="686">
        <f t="shared" si="15"/>
        <v>1265000</v>
      </c>
      <c r="AB9" s="686">
        <v>628000</v>
      </c>
      <c r="AC9" s="686">
        <v>214000</v>
      </c>
      <c r="AD9" s="686">
        <v>103000</v>
      </c>
      <c r="AE9" s="686">
        <v>1264000</v>
      </c>
      <c r="AG9" s="686">
        <v>308000</v>
      </c>
      <c r="AH9" s="686">
        <v>113000</v>
      </c>
      <c r="AI9" s="686">
        <v>60000</v>
      </c>
      <c r="AJ9" s="686">
        <f t="shared" si="16"/>
        <v>1264000</v>
      </c>
      <c r="AL9" s="686">
        <v>372000</v>
      </c>
      <c r="AM9" s="686">
        <f>[6]segmenty!$F$34*1000+3000</f>
        <v>113000</v>
      </c>
      <c r="AN9" s="686">
        <f>[6]segmenty!$F$31*1000-10000</f>
        <v>43000</v>
      </c>
      <c r="AO9" s="686">
        <f>[6]segmenty!$F$25*1000</f>
        <v>1296000</v>
      </c>
      <c r="AQ9" s="686">
        <f>([7]segmenty!$F$9)*1000</f>
        <v>1542000</v>
      </c>
      <c r="AR9" s="686">
        <f>([7]segmenty!$F$34)*1000</f>
        <v>273000</v>
      </c>
      <c r="AS9" s="686">
        <f>([7]segmenty!$F$31)*1000</f>
        <v>96000</v>
      </c>
      <c r="AT9" s="686">
        <f>([7]segmenty!$F$25)*1000</f>
        <v>1317000</v>
      </c>
      <c r="AV9" s="686">
        <f t="shared" si="17"/>
        <v>460000</v>
      </c>
      <c r="AW9" s="686">
        <f t="shared" si="17"/>
        <v>105000</v>
      </c>
      <c r="AX9" s="686">
        <f t="shared" si="17"/>
        <v>59000</v>
      </c>
      <c r="AY9" s="686">
        <f t="shared" si="18"/>
        <v>1317000</v>
      </c>
      <c r="BA9" s="686">
        <f>([8]segmenty!$F$9)*1000</f>
        <v>1082000</v>
      </c>
      <c r="BB9" s="686">
        <f>([8]segmenty!$F$34)*1000</f>
        <v>168000</v>
      </c>
      <c r="BC9" s="686">
        <f>([8]segmenty!$F$31)*1000</f>
        <v>37000</v>
      </c>
      <c r="BD9" s="686">
        <f>([8]segmenty!$F$25)*1000</f>
        <v>1130000</v>
      </c>
      <c r="BF9" s="686">
        <f>('[8]segmenty 3 m-ce PREZ'!$F$9)*1000</f>
        <v>357000</v>
      </c>
      <c r="BG9" s="686">
        <f>('[8]segmenty 3 m-ce PREZ'!$F$16)*1000</f>
        <v>53000</v>
      </c>
      <c r="BH9" s="686">
        <f>('[8]segmenty 3 m-ce PREZ'!$F$12)*1000</f>
        <v>7000</v>
      </c>
      <c r="BI9" s="686">
        <f t="shared" si="19"/>
        <v>1130000</v>
      </c>
      <c r="BK9" s="686">
        <f>[9]segmenty!$F$9*1000</f>
        <v>725000</v>
      </c>
      <c r="BL9" s="686">
        <f>[9]segmenty!$F$34*1000</f>
        <v>115000</v>
      </c>
      <c r="BM9" s="686">
        <f>[9]segmenty!$F$31*1000</f>
        <v>30000</v>
      </c>
      <c r="BN9" s="686">
        <f>[9]segmenty!$F$25*1000</f>
        <v>1147000</v>
      </c>
      <c r="BP9" s="686">
        <f>('[9]segmenty 3 m-ce'!$F$69)*1000</f>
        <v>339000</v>
      </c>
      <c r="BQ9" s="686">
        <f>('[9]segmenty 3 m-ce'!$F$84)*1000</f>
        <v>45000</v>
      </c>
      <c r="BR9" s="686">
        <f>('[9]segmenty 3 m-ce'!$F$81)*1000</f>
        <v>3000</v>
      </c>
      <c r="BS9" s="686">
        <f t="shared" si="20"/>
        <v>1147000</v>
      </c>
      <c r="BU9" s="686">
        <f>[10]segmenty!$F$9*1000</f>
        <v>386000</v>
      </c>
      <c r="BV9" s="686">
        <f>[10]segmenty!$F$34*1000</f>
        <v>70000</v>
      </c>
      <c r="BW9" s="686">
        <f>[10]segmenty!$F$31*1000</f>
        <v>27000</v>
      </c>
      <c r="BX9" s="686">
        <f>[10]segmenty!$F$25*1000</f>
        <v>1144000</v>
      </c>
      <c r="BZ9" s="686">
        <f t="shared" si="21"/>
        <v>373000</v>
      </c>
      <c r="CA9" s="686">
        <f t="shared" si="21"/>
        <v>129000</v>
      </c>
      <c r="CB9" s="686">
        <f t="shared" si="21"/>
        <v>92000</v>
      </c>
      <c r="CC9" s="686">
        <f t="shared" si="22"/>
        <v>1156000</v>
      </c>
      <c r="CE9" s="686">
        <v>1428000</v>
      </c>
      <c r="CF9" s="686">
        <v>298000</v>
      </c>
      <c r="CG9" s="686">
        <v>163000</v>
      </c>
      <c r="CH9" s="686">
        <v>1156000</v>
      </c>
      <c r="CJ9" s="467">
        <v>350000</v>
      </c>
      <c r="CK9" s="467">
        <v>44000</v>
      </c>
      <c r="CL9" s="467">
        <v>12000</v>
      </c>
      <c r="CM9" s="467">
        <f t="shared" si="0"/>
        <v>1021000</v>
      </c>
      <c r="CO9" s="467">
        <v>1055000</v>
      </c>
      <c r="CP9" s="467">
        <v>169000</v>
      </c>
      <c r="CQ9" s="467">
        <v>71000</v>
      </c>
      <c r="CR9" s="467">
        <v>1021000</v>
      </c>
      <c r="CT9" s="467">
        <f t="shared" si="1"/>
        <v>346000</v>
      </c>
      <c r="CU9" s="467">
        <f t="shared" si="1"/>
        <v>65000</v>
      </c>
      <c r="CV9" s="467">
        <f t="shared" si="1"/>
        <v>30000</v>
      </c>
      <c r="CW9" s="467">
        <v>1023000</v>
      </c>
      <c r="CY9" s="467">
        <v>705000</v>
      </c>
      <c r="CZ9" s="467">
        <v>125000</v>
      </c>
      <c r="DA9" s="467">
        <v>59000</v>
      </c>
      <c r="DB9" s="467">
        <v>1023000</v>
      </c>
      <c r="DD9" s="467">
        <v>359000</v>
      </c>
      <c r="DE9" s="467">
        <v>60000</v>
      </c>
      <c r="DF9" s="467">
        <v>29000</v>
      </c>
      <c r="DG9" s="467">
        <v>895000</v>
      </c>
      <c r="DI9" s="467">
        <f t="shared" si="2"/>
        <v>337835</v>
      </c>
      <c r="DJ9" s="467">
        <f t="shared" si="2"/>
        <v>57813</v>
      </c>
      <c r="DK9" s="467">
        <f t="shared" si="2"/>
        <v>23662</v>
      </c>
      <c r="DL9" s="467">
        <f t="shared" si="3"/>
        <v>891000</v>
      </c>
      <c r="DN9" s="467">
        <v>1177000</v>
      </c>
      <c r="DO9" s="467">
        <v>208000</v>
      </c>
      <c r="DP9" s="467">
        <v>92000</v>
      </c>
      <c r="DQ9" s="467">
        <v>891000</v>
      </c>
      <c r="DS9" s="467">
        <f t="shared" si="4"/>
        <v>279664</v>
      </c>
      <c r="DT9" s="467">
        <f t="shared" si="4"/>
        <v>44509</v>
      </c>
      <c r="DU9" s="467">
        <f t="shared" si="4"/>
        <v>15730</v>
      </c>
      <c r="DV9" s="467">
        <f t="shared" si="5"/>
        <v>814436</v>
      </c>
      <c r="DX9" s="467">
        <v>839165</v>
      </c>
      <c r="DY9" s="467">
        <v>150187</v>
      </c>
      <c r="DZ9" s="467">
        <v>68338</v>
      </c>
      <c r="EA9" s="467">
        <v>814436</v>
      </c>
      <c r="EC9" s="467">
        <f t="shared" si="6"/>
        <v>272593</v>
      </c>
      <c r="ED9" s="467">
        <f t="shared" si="6"/>
        <v>55913</v>
      </c>
      <c r="EE9" s="467">
        <f t="shared" si="6"/>
        <v>28579</v>
      </c>
      <c r="EF9" s="467">
        <f t="shared" si="7"/>
        <v>799896</v>
      </c>
      <c r="EH9" s="467">
        <v>559501</v>
      </c>
      <c r="EI9" s="467">
        <v>105678</v>
      </c>
      <c r="EJ9" s="467">
        <v>52608</v>
      </c>
      <c r="EK9" s="467">
        <v>799896</v>
      </c>
      <c r="EM9" s="467">
        <v>286908</v>
      </c>
      <c r="EN9" s="467">
        <v>49765</v>
      </c>
      <c r="EO9" s="467">
        <v>24029</v>
      </c>
      <c r="EP9" s="467">
        <v>813988</v>
      </c>
      <c r="ER9" s="467">
        <f t="shared" si="8"/>
        <v>292450</v>
      </c>
      <c r="ES9" s="467">
        <f t="shared" si="8"/>
        <v>17861</v>
      </c>
      <c r="ET9" s="467">
        <f t="shared" si="8"/>
        <v>-6467</v>
      </c>
      <c r="EU9" s="467">
        <f t="shared" si="9"/>
        <v>775856</v>
      </c>
      <c r="EW9" s="467">
        <v>1114492</v>
      </c>
      <c r="EX9" s="467">
        <v>229305</v>
      </c>
      <c r="EY9" s="467">
        <v>136169</v>
      </c>
      <c r="EZ9" s="467">
        <v>775856</v>
      </c>
      <c r="FB9" s="467">
        <v>286091</v>
      </c>
      <c r="FC9" s="467">
        <v>49065</v>
      </c>
      <c r="FD9" s="467">
        <v>24446</v>
      </c>
      <c r="FE9" s="467">
        <f t="shared" si="10"/>
        <v>668133</v>
      </c>
      <c r="FG9" s="467">
        <v>822042</v>
      </c>
      <c r="FH9" s="467">
        <v>211444</v>
      </c>
      <c r="FI9" s="467">
        <v>142636</v>
      </c>
      <c r="FJ9" s="467">
        <v>668133</v>
      </c>
      <c r="FL9" s="467">
        <f t="shared" si="11"/>
        <v>273482</v>
      </c>
      <c r="FM9" s="468">
        <f t="shared" si="11"/>
        <v>123599</v>
      </c>
      <c r="FN9" s="467">
        <f t="shared" si="11"/>
        <v>100460</v>
      </c>
      <c r="FO9" s="467">
        <v>643602</v>
      </c>
      <c r="FQ9" s="467">
        <v>535951</v>
      </c>
      <c r="FR9" s="468">
        <v>162379</v>
      </c>
      <c r="FS9" s="467">
        <v>118190</v>
      </c>
      <c r="FT9" s="467">
        <v>643602</v>
      </c>
      <c r="FV9" s="467">
        <v>262469</v>
      </c>
      <c r="FW9" s="468">
        <v>38780</v>
      </c>
      <c r="FX9" s="467">
        <v>17730</v>
      </c>
      <c r="FY9" s="467">
        <v>645685</v>
      </c>
      <c r="FZ9" s="5"/>
      <c r="GA9" s="341">
        <v>979911</v>
      </c>
      <c r="GB9" s="342">
        <v>136186</v>
      </c>
      <c r="GC9" s="341">
        <v>46152</v>
      </c>
      <c r="GD9" s="341">
        <v>648705</v>
      </c>
      <c r="GF9" s="341">
        <v>247939</v>
      </c>
      <c r="GG9" s="342">
        <v>8695</v>
      </c>
      <c r="GH9" s="341">
        <v>-13448</v>
      </c>
      <c r="GI9" s="341">
        <v>648705</v>
      </c>
      <c r="GK9" s="341">
        <v>731972</v>
      </c>
      <c r="GL9" s="342">
        <v>127491</v>
      </c>
      <c r="GM9" s="341">
        <v>59600</v>
      </c>
      <c r="GN9" s="341">
        <v>570462</v>
      </c>
      <c r="GP9" s="341">
        <v>249043</v>
      </c>
      <c r="GQ9" s="342">
        <v>43029</v>
      </c>
      <c r="GR9" s="341">
        <v>20235</v>
      </c>
      <c r="GS9" s="341">
        <v>570462</v>
      </c>
      <c r="GV9" s="341">
        <v>482929</v>
      </c>
      <c r="GW9" s="342">
        <v>84462</v>
      </c>
      <c r="GX9" s="341">
        <v>39365</v>
      </c>
      <c r="GY9" s="341">
        <v>583361</v>
      </c>
      <c r="HA9" s="341">
        <v>234413</v>
      </c>
      <c r="HB9" s="342">
        <v>40018</v>
      </c>
      <c r="HC9" s="341">
        <v>17339</v>
      </c>
      <c r="HD9" s="341">
        <v>583361</v>
      </c>
      <c r="HF9" s="341">
        <v>248516</v>
      </c>
      <c r="HG9" s="342">
        <v>44444</v>
      </c>
      <c r="HH9" s="341">
        <v>22026</v>
      </c>
      <c r="HI9" s="341">
        <v>599593</v>
      </c>
      <c r="HK9" s="341">
        <v>857462</v>
      </c>
      <c r="HL9" s="341">
        <v>134793</v>
      </c>
      <c r="HM9" s="341">
        <v>46023</v>
      </c>
      <c r="HN9" s="341">
        <v>581497</v>
      </c>
      <c r="HP9" s="341">
        <v>240979</v>
      </c>
      <c r="HQ9" s="342">
        <v>4545</v>
      </c>
      <c r="HR9" s="341">
        <v>-16871</v>
      </c>
      <c r="HS9" s="341">
        <v>581497</v>
      </c>
      <c r="HU9" s="341">
        <v>616483</v>
      </c>
      <c r="HV9" s="342">
        <v>130248</v>
      </c>
      <c r="HW9" s="341">
        <v>62894</v>
      </c>
      <c r="HX9" s="341">
        <v>501583</v>
      </c>
      <c r="HZ9" s="341">
        <v>201877</v>
      </c>
      <c r="IA9" s="342">
        <v>41536</v>
      </c>
      <c r="IB9" s="341">
        <v>18622</v>
      </c>
      <c r="IC9" s="341">
        <v>501583</v>
      </c>
      <c r="IE9" s="166">
        <v>414606</v>
      </c>
      <c r="IF9" s="319">
        <v>88712</v>
      </c>
      <c r="IG9" s="166">
        <v>44272</v>
      </c>
      <c r="IH9" s="166">
        <v>511896</v>
      </c>
      <c r="IJ9" s="166">
        <v>219053</v>
      </c>
      <c r="IK9" s="319">
        <v>49009</v>
      </c>
      <c r="IL9" s="166">
        <v>25412</v>
      </c>
      <c r="IM9" s="166">
        <v>511896</v>
      </c>
      <c r="IO9" s="156">
        <v>195553</v>
      </c>
      <c r="IP9" s="183">
        <v>39703</v>
      </c>
      <c r="IQ9" s="156">
        <v>18860</v>
      </c>
      <c r="IR9" s="156">
        <v>507173</v>
      </c>
      <c r="IT9" s="156">
        <v>804560</v>
      </c>
      <c r="IU9" s="156">
        <v>118043</v>
      </c>
      <c r="IV9" s="156">
        <v>35902</v>
      </c>
      <c r="IW9" s="156">
        <v>508825</v>
      </c>
      <c r="IY9" s="156">
        <v>206198</v>
      </c>
      <c r="IZ9" s="183">
        <v>3431</v>
      </c>
      <c r="JA9" s="156">
        <v>-19915</v>
      </c>
      <c r="JB9" s="156">
        <v>508825</v>
      </c>
      <c r="JC9" s="157"/>
      <c r="JD9" s="156">
        <v>598362</v>
      </c>
      <c r="JE9" s="156">
        <v>114612</v>
      </c>
      <c r="JF9" s="156">
        <v>55817</v>
      </c>
      <c r="JG9" s="156">
        <v>455307</v>
      </c>
      <c r="JH9" s="156"/>
      <c r="JI9" s="156">
        <v>205774</v>
      </c>
      <c r="JJ9" s="156">
        <v>37977</v>
      </c>
      <c r="JK9" s="156">
        <v>17870</v>
      </c>
      <c r="JL9" s="156">
        <v>455307</v>
      </c>
      <c r="JM9" s="157"/>
      <c r="JN9" s="156">
        <v>392588</v>
      </c>
      <c r="JO9" s="156">
        <v>76635</v>
      </c>
      <c r="JP9" s="156">
        <v>37947</v>
      </c>
      <c r="JQ9" s="156">
        <v>445341</v>
      </c>
      <c r="JR9" s="157"/>
      <c r="JS9" s="156">
        <f t="shared" si="12"/>
        <v>197807</v>
      </c>
      <c r="JT9" s="156">
        <f t="shared" si="12"/>
        <v>40909</v>
      </c>
      <c r="JU9" s="156">
        <f t="shared" si="12"/>
        <v>21212</v>
      </c>
      <c r="JV9" s="156">
        <f>KA9</f>
        <v>461173</v>
      </c>
      <c r="JW9" s="157"/>
      <c r="JX9" s="156">
        <v>194781</v>
      </c>
      <c r="JY9" s="156">
        <v>35726</v>
      </c>
      <c r="JZ9" s="156">
        <v>16735</v>
      </c>
      <c r="KA9" s="156">
        <v>461173</v>
      </c>
      <c r="KB9" s="157"/>
      <c r="KC9" s="156">
        <v>827928</v>
      </c>
      <c r="KD9" s="156">
        <v>114570</v>
      </c>
      <c r="KE9" s="156">
        <v>42642</v>
      </c>
      <c r="KF9" s="156">
        <v>468202</v>
      </c>
      <c r="KG9" s="157"/>
      <c r="KH9" s="156">
        <v>211032</v>
      </c>
      <c r="KI9" s="156">
        <v>12302</v>
      </c>
      <c r="KJ9" s="156">
        <v>-5504</v>
      </c>
      <c r="KK9" s="156">
        <v>468202</v>
      </c>
      <c r="KL9" s="157"/>
      <c r="KM9" s="156">
        <v>616896</v>
      </c>
      <c r="KN9" s="156">
        <v>102268</v>
      </c>
      <c r="KO9" s="156">
        <v>48146</v>
      </c>
      <c r="KP9" s="156">
        <v>433699</v>
      </c>
      <c r="KQ9" s="157"/>
      <c r="KR9" s="156">
        <v>188053</v>
      </c>
      <c r="KS9" s="156">
        <v>36232</v>
      </c>
      <c r="KT9" s="156">
        <v>18324</v>
      </c>
      <c r="KU9" s="156">
        <v>433699</v>
      </c>
      <c r="KV9" s="157"/>
      <c r="KW9" s="156">
        <v>428843</v>
      </c>
      <c r="KX9" s="156">
        <v>66036</v>
      </c>
      <c r="KY9" s="156">
        <v>29822</v>
      </c>
      <c r="KZ9" s="156">
        <v>443449</v>
      </c>
      <c r="LA9" s="157"/>
      <c r="LB9" s="156">
        <v>211401</v>
      </c>
      <c r="LC9" s="156">
        <v>35550</v>
      </c>
      <c r="LD9" s="156">
        <v>17383</v>
      </c>
      <c r="LE9" s="156">
        <v>443449</v>
      </c>
      <c r="LF9" s="157"/>
      <c r="LG9" s="156">
        <v>217442</v>
      </c>
      <c r="LH9" s="156">
        <v>30486</v>
      </c>
      <c r="LI9" s="156">
        <v>12439</v>
      </c>
      <c r="LJ9" s="156">
        <v>460262</v>
      </c>
      <c r="LK9" s="157"/>
      <c r="LL9" s="156">
        <v>927953</v>
      </c>
      <c r="LM9" s="156">
        <v>100320</v>
      </c>
      <c r="LN9" s="156">
        <v>32596</v>
      </c>
      <c r="LO9" s="156">
        <v>478618</v>
      </c>
      <c r="LP9" s="163"/>
      <c r="LQ9" s="156">
        <v>225159</v>
      </c>
      <c r="LR9" s="156">
        <v>2137</v>
      </c>
      <c r="LS9" s="156">
        <v>-15376</v>
      </c>
      <c r="LT9" s="156">
        <v>478618</v>
      </c>
      <c r="LU9" s="163"/>
      <c r="LV9" s="156">
        <v>702794</v>
      </c>
      <c r="LW9" s="156">
        <v>98183</v>
      </c>
      <c r="LX9" s="156">
        <v>47972</v>
      </c>
      <c r="LY9" s="156">
        <v>438649</v>
      </c>
      <c r="LZ9" s="157"/>
      <c r="MA9" s="156">
        <v>199648</v>
      </c>
      <c r="MB9" s="156">
        <v>37188</v>
      </c>
      <c r="MC9" s="156">
        <v>20076</v>
      </c>
      <c r="MD9" s="156">
        <v>438649</v>
      </c>
      <c r="ME9" s="157"/>
      <c r="MF9" s="156">
        <v>503146</v>
      </c>
      <c r="MG9" s="156">
        <v>60856</v>
      </c>
      <c r="MH9" s="156">
        <v>27896</v>
      </c>
      <c r="MI9" s="156">
        <v>448459</v>
      </c>
      <c r="MJ9" s="157"/>
      <c r="MK9" s="156">
        <v>239006</v>
      </c>
      <c r="ML9" s="156">
        <v>17517</v>
      </c>
      <c r="MM9" s="156">
        <v>789</v>
      </c>
      <c r="MN9" s="156">
        <v>448459</v>
      </c>
      <c r="MO9" s="157"/>
      <c r="MP9" s="156">
        <v>264140</v>
      </c>
      <c r="MQ9" s="156">
        <v>43339</v>
      </c>
      <c r="MR9" s="156">
        <v>27107</v>
      </c>
      <c r="MS9" s="156">
        <v>484742</v>
      </c>
      <c r="MT9" s="157"/>
      <c r="MU9" s="163" t="s">
        <v>85</v>
      </c>
      <c r="MV9" s="156">
        <v>6074646</v>
      </c>
      <c r="MW9" s="156">
        <v>2157136</v>
      </c>
      <c r="MX9" s="156">
        <v>1209344</v>
      </c>
      <c r="MY9" s="156">
        <v>15012125</v>
      </c>
      <c r="MZ9" s="157"/>
      <c r="NA9" s="156">
        <v>4528811</v>
      </c>
      <c r="NB9" s="156">
        <v>1777840</v>
      </c>
      <c r="NC9" s="156">
        <v>1070837</v>
      </c>
      <c r="ND9" s="156">
        <v>14581007</v>
      </c>
      <c r="NE9" s="157"/>
      <c r="NF9" s="156">
        <v>3048951</v>
      </c>
      <c r="NG9" s="156">
        <v>1169688</v>
      </c>
      <c r="NH9" s="156">
        <v>700012</v>
      </c>
      <c r="NI9" s="156">
        <v>14377042</v>
      </c>
      <c r="NJ9" s="157"/>
      <c r="NK9" s="157"/>
      <c r="NL9" s="157"/>
      <c r="NM9" s="157"/>
      <c r="NN9" s="157"/>
      <c r="NO9" s="157"/>
      <c r="NP9" s="157"/>
      <c r="NQ9" s="157"/>
      <c r="NR9" s="157"/>
      <c r="NS9" s="157"/>
      <c r="NT9" s="157"/>
      <c r="NU9" s="157"/>
      <c r="NV9" s="157"/>
      <c r="NW9" s="157"/>
      <c r="NX9" s="157"/>
      <c r="NY9" s="157"/>
      <c r="NZ9" s="157"/>
      <c r="OA9" s="157"/>
      <c r="OB9" s="157"/>
      <c r="OC9" s="157"/>
      <c r="OD9" s="157"/>
      <c r="OE9" s="157"/>
      <c r="OF9" s="157"/>
      <c r="OG9" s="157"/>
      <c r="OH9" s="157"/>
      <c r="OI9" s="157"/>
      <c r="OJ9" s="157"/>
      <c r="OK9" s="157"/>
      <c r="OL9" s="157"/>
      <c r="OM9" s="157"/>
      <c r="ON9" s="157"/>
      <c r="OO9" s="157"/>
      <c r="OP9" s="157"/>
      <c r="OQ9" s="157"/>
      <c r="OR9" s="157"/>
      <c r="OS9" s="157"/>
      <c r="OT9" s="157"/>
      <c r="OU9" s="157"/>
      <c r="OV9" s="157"/>
      <c r="OW9" s="157"/>
      <c r="OX9" s="157"/>
      <c r="OY9" s="157"/>
      <c r="OZ9" s="157"/>
      <c r="PA9" s="157"/>
    </row>
    <row r="10" spans="1:417">
      <c r="A10" s="59" t="s">
        <v>588</v>
      </c>
      <c r="C10" s="686"/>
      <c r="D10" s="686"/>
      <c r="E10" s="686"/>
      <c r="F10" s="686"/>
      <c r="H10" s="686"/>
      <c r="I10" s="686"/>
      <c r="J10" s="686"/>
      <c r="M10" s="686">
        <f t="shared" si="23"/>
        <v>0</v>
      </c>
      <c r="N10" s="686"/>
      <c r="O10" s="686"/>
      <c r="P10" s="686"/>
      <c r="R10" s="686"/>
      <c r="S10" s="686"/>
      <c r="T10" s="686"/>
      <c r="U10" s="686"/>
      <c r="W10" s="686"/>
      <c r="X10" s="686"/>
      <c r="Y10" s="686"/>
      <c r="Z10" s="686"/>
      <c r="AB10" s="686"/>
      <c r="AC10" s="686"/>
      <c r="AD10" s="686"/>
      <c r="AE10" s="686"/>
      <c r="AG10" s="686"/>
      <c r="AH10" s="686"/>
      <c r="AI10" s="686"/>
      <c r="AJ10" s="686"/>
      <c r="AL10" s="686"/>
      <c r="AM10" s="686"/>
      <c r="AN10" s="686"/>
      <c r="AO10" s="686"/>
      <c r="AQ10" s="686"/>
      <c r="AR10" s="686"/>
      <c r="AS10" s="686"/>
      <c r="AT10" s="686"/>
      <c r="AV10" s="686"/>
      <c r="AW10" s="686"/>
      <c r="AX10" s="686"/>
      <c r="AY10" s="686"/>
      <c r="BA10" s="686"/>
      <c r="BB10" s="686"/>
      <c r="BC10" s="686"/>
      <c r="BD10" s="686"/>
      <c r="BF10" s="686"/>
      <c r="BG10" s="686"/>
      <c r="BH10" s="686"/>
      <c r="BI10" s="686"/>
      <c r="BK10" s="686"/>
      <c r="BL10" s="686"/>
      <c r="BM10" s="686"/>
      <c r="BN10" s="686"/>
      <c r="BP10" s="686"/>
      <c r="BQ10" s="686"/>
      <c r="BR10" s="686"/>
      <c r="BS10" s="686"/>
      <c r="BU10" s="686"/>
      <c r="BV10" s="686"/>
      <c r="BW10" s="686"/>
      <c r="BX10" s="686"/>
      <c r="BZ10" s="686">
        <f>CE10-CO3</f>
        <v>-609000</v>
      </c>
      <c r="CA10" s="686">
        <f>CF10-CP3</f>
        <v>530000</v>
      </c>
      <c r="CB10" s="686">
        <f>CG10-CQ3</f>
        <v>-7000</v>
      </c>
      <c r="CC10" s="686">
        <f t="shared" si="22"/>
        <v>0</v>
      </c>
      <c r="CE10" s="686">
        <v>1030000</v>
      </c>
      <c r="CF10" s="686">
        <v>801000</v>
      </c>
      <c r="CG10" s="686">
        <v>50000</v>
      </c>
      <c r="CH10" s="686">
        <v>0</v>
      </c>
      <c r="CJ10" s="467"/>
      <c r="CK10" s="467"/>
      <c r="CL10" s="467"/>
      <c r="CM10" s="467"/>
      <c r="CO10" s="467"/>
      <c r="CP10" s="467"/>
      <c r="CQ10" s="467"/>
      <c r="CR10" s="467"/>
      <c r="CT10" s="467"/>
      <c r="CU10" s="467"/>
      <c r="CV10" s="467"/>
      <c r="CW10" s="467"/>
      <c r="CY10" s="467"/>
      <c r="CZ10" s="467"/>
      <c r="DA10" s="467"/>
      <c r="DB10" s="467"/>
      <c r="DD10" s="467"/>
      <c r="DE10" s="467"/>
      <c r="DF10" s="467"/>
      <c r="DG10" s="467"/>
      <c r="DI10" s="467"/>
      <c r="DJ10" s="467"/>
      <c r="DK10" s="467"/>
      <c r="DL10" s="467"/>
      <c r="DN10" s="467"/>
      <c r="DO10" s="467"/>
      <c r="DP10" s="467"/>
      <c r="DQ10" s="467"/>
      <c r="DS10" s="467"/>
      <c r="DT10" s="467"/>
      <c r="DU10" s="467"/>
      <c r="DV10" s="467"/>
      <c r="DX10" s="467"/>
      <c r="DY10" s="467"/>
      <c r="DZ10" s="467"/>
      <c r="EA10" s="467"/>
      <c r="EC10" s="467"/>
      <c r="ED10" s="467"/>
      <c r="EE10" s="467"/>
      <c r="EF10" s="467"/>
      <c r="EH10" s="467"/>
      <c r="EI10" s="467"/>
      <c r="EJ10" s="467"/>
      <c r="EK10" s="467"/>
      <c r="EM10" s="467"/>
      <c r="EN10" s="467"/>
      <c r="EO10" s="467"/>
      <c r="EP10" s="467"/>
      <c r="ER10" s="467">
        <f t="shared" si="8"/>
        <v>138487</v>
      </c>
      <c r="ES10" s="467">
        <f t="shared" si="8"/>
        <v>79622</v>
      </c>
      <c r="ET10" s="467">
        <f t="shared" si="8"/>
        <v>76002</v>
      </c>
      <c r="EU10" s="467">
        <f t="shared" si="9"/>
        <v>1805956</v>
      </c>
      <c r="EW10" s="467">
        <v>482608</v>
      </c>
      <c r="EX10" s="467">
        <v>171119</v>
      </c>
      <c r="EY10" s="467">
        <v>-717342</v>
      </c>
      <c r="EZ10" s="467">
        <v>1805956</v>
      </c>
      <c r="FB10" s="467">
        <v>45360</v>
      </c>
      <c r="FC10" s="467">
        <v>-287</v>
      </c>
      <c r="FD10" s="467">
        <v>-15838</v>
      </c>
      <c r="FE10" s="467">
        <f t="shared" si="10"/>
        <v>1715232</v>
      </c>
      <c r="FG10" s="467">
        <v>344121</v>
      </c>
      <c r="FH10" s="467">
        <v>91497</v>
      </c>
      <c r="FI10" s="467">
        <v>-793344</v>
      </c>
      <c r="FJ10" s="467">
        <v>1715232</v>
      </c>
      <c r="FL10" s="467">
        <f t="shared" si="11"/>
        <v>96613</v>
      </c>
      <c r="FM10" s="468">
        <f t="shared" si="11"/>
        <v>15733</v>
      </c>
      <c r="FN10" s="467">
        <f t="shared" si="11"/>
        <v>-821890</v>
      </c>
      <c r="FO10" s="467">
        <v>1704516</v>
      </c>
      <c r="FQ10" s="467">
        <v>298761</v>
      </c>
      <c r="FR10" s="468">
        <v>91784</v>
      </c>
      <c r="FS10" s="467">
        <v>-777506</v>
      </c>
      <c r="FT10" s="467">
        <v>1704516</v>
      </c>
      <c r="FV10" s="467">
        <v>202148</v>
      </c>
      <c r="FW10" s="468">
        <v>76051</v>
      </c>
      <c r="FX10" s="467">
        <v>44384</v>
      </c>
      <c r="FY10" s="467"/>
      <c r="FZ10" s="5"/>
      <c r="GA10" s="341"/>
      <c r="GB10" s="342"/>
      <c r="GC10" s="341"/>
      <c r="GD10" s="341"/>
      <c r="GF10" s="341"/>
      <c r="GG10" s="342"/>
      <c r="GH10" s="341"/>
      <c r="GI10" s="341"/>
      <c r="GK10" s="341"/>
      <c r="GL10" s="342"/>
      <c r="GM10" s="341"/>
      <c r="GN10" s="341"/>
      <c r="GP10" s="341"/>
      <c r="GQ10" s="342"/>
      <c r="GR10" s="341"/>
      <c r="GS10" s="341"/>
      <c r="GV10" s="341"/>
      <c r="GW10" s="342"/>
      <c r="GX10" s="341"/>
      <c r="GY10" s="341"/>
      <c r="HA10" s="341"/>
      <c r="HB10" s="342"/>
      <c r="HC10" s="341"/>
      <c r="HD10" s="341"/>
      <c r="HF10" s="341"/>
      <c r="HG10" s="342"/>
      <c r="HH10" s="341"/>
      <c r="HI10" s="341"/>
      <c r="HK10" s="341"/>
      <c r="HL10" s="341"/>
      <c r="HM10" s="341"/>
      <c r="HN10" s="341"/>
      <c r="HP10" s="341"/>
      <c r="HQ10" s="342"/>
      <c r="HR10" s="341"/>
      <c r="HS10" s="341"/>
      <c r="HU10" s="341"/>
      <c r="HV10" s="342"/>
      <c r="HW10" s="341"/>
      <c r="HX10" s="341"/>
      <c r="HZ10" s="341"/>
      <c r="IA10" s="342"/>
      <c r="IB10" s="341"/>
      <c r="IC10" s="341"/>
      <c r="IE10" s="166"/>
      <c r="IF10" s="319"/>
      <c r="IG10" s="166"/>
      <c r="IH10" s="166"/>
      <c r="IJ10" s="166"/>
      <c r="IK10" s="319"/>
      <c r="IL10" s="166"/>
      <c r="IM10" s="166"/>
      <c r="IO10" s="156"/>
      <c r="IP10" s="183"/>
      <c r="IQ10" s="156"/>
      <c r="IR10" s="156"/>
      <c r="IT10" s="156"/>
      <c r="IU10" s="156"/>
      <c r="IV10" s="156"/>
      <c r="IW10" s="156"/>
      <c r="IY10" s="156"/>
      <c r="IZ10" s="183"/>
      <c r="JA10" s="156"/>
      <c r="JB10" s="156"/>
      <c r="JC10" s="157"/>
      <c r="JD10" s="156"/>
      <c r="JE10" s="156"/>
      <c r="JF10" s="156"/>
      <c r="JG10" s="156"/>
      <c r="JH10" s="156"/>
      <c r="JI10" s="156"/>
      <c r="JJ10" s="156"/>
      <c r="JK10" s="156"/>
      <c r="JL10" s="156"/>
      <c r="JM10" s="157"/>
      <c r="JN10" s="156"/>
      <c r="JO10" s="156"/>
      <c r="JP10" s="156"/>
      <c r="JQ10" s="156"/>
      <c r="JR10" s="157"/>
      <c r="JS10" s="156"/>
      <c r="JT10" s="156"/>
      <c r="JU10" s="156"/>
      <c r="JV10" s="156"/>
      <c r="JW10" s="157"/>
      <c r="JX10" s="156"/>
      <c r="JY10" s="156"/>
      <c r="JZ10" s="156"/>
      <c r="KA10" s="156"/>
      <c r="KB10" s="157"/>
      <c r="KC10" s="156"/>
      <c r="KD10" s="156"/>
      <c r="KE10" s="156"/>
      <c r="KF10" s="156"/>
      <c r="KG10" s="157"/>
      <c r="KH10" s="156"/>
      <c r="KI10" s="156"/>
      <c r="KJ10" s="156"/>
      <c r="KK10" s="156"/>
      <c r="KL10" s="157"/>
      <c r="KM10" s="156"/>
      <c r="KN10" s="156"/>
      <c r="KO10" s="156"/>
      <c r="KP10" s="156"/>
      <c r="KQ10" s="157"/>
      <c r="KR10" s="156"/>
      <c r="KS10" s="156"/>
      <c r="KT10" s="156"/>
      <c r="KU10" s="156"/>
      <c r="KV10" s="157"/>
      <c r="KW10" s="156"/>
      <c r="KX10" s="156"/>
      <c r="KY10" s="156"/>
      <c r="KZ10" s="156"/>
      <c r="LA10" s="157"/>
      <c r="LB10" s="156"/>
      <c r="LC10" s="156"/>
      <c r="LD10" s="156"/>
      <c r="LE10" s="156"/>
      <c r="LF10" s="157"/>
      <c r="LG10" s="156"/>
      <c r="LH10" s="156"/>
      <c r="LI10" s="156"/>
      <c r="LJ10" s="156"/>
      <c r="LK10" s="157"/>
      <c r="LL10" s="156"/>
      <c r="LM10" s="156"/>
      <c r="LN10" s="156"/>
      <c r="LO10" s="156"/>
      <c r="LP10" s="163"/>
      <c r="LQ10" s="156"/>
      <c r="LR10" s="156"/>
      <c r="LS10" s="156"/>
      <c r="LT10" s="156"/>
      <c r="LU10" s="163"/>
      <c r="LV10" s="156"/>
      <c r="LW10" s="156"/>
      <c r="LX10" s="156"/>
      <c r="LY10" s="156"/>
      <c r="LZ10" s="157"/>
      <c r="MA10" s="156"/>
      <c r="MB10" s="156"/>
      <c r="MC10" s="156"/>
      <c r="MD10" s="156"/>
      <c r="ME10" s="157"/>
      <c r="MF10" s="156"/>
      <c r="MG10" s="156"/>
      <c r="MH10" s="156"/>
      <c r="MI10" s="156"/>
      <c r="MJ10" s="157"/>
      <c r="MK10" s="156"/>
      <c r="ML10" s="156"/>
      <c r="MM10" s="156"/>
      <c r="MN10" s="156"/>
      <c r="MO10" s="157"/>
      <c r="MP10" s="156"/>
      <c r="MQ10" s="156"/>
      <c r="MR10" s="156"/>
      <c r="MS10" s="156"/>
      <c r="MT10" s="157"/>
      <c r="MU10" s="163"/>
      <c r="MV10" s="156"/>
      <c r="MW10" s="156"/>
      <c r="MX10" s="156"/>
      <c r="MY10" s="156"/>
      <c r="MZ10" s="157"/>
      <c r="NA10" s="156"/>
      <c r="NB10" s="156"/>
      <c r="NC10" s="156"/>
      <c r="ND10" s="156"/>
      <c r="NE10" s="157"/>
      <c r="NF10" s="156"/>
      <c r="NG10" s="156"/>
      <c r="NH10" s="156"/>
      <c r="NI10" s="156"/>
      <c r="NJ10" s="157"/>
      <c r="NK10" s="157"/>
      <c r="NL10" s="157"/>
      <c r="NM10" s="157"/>
      <c r="NN10" s="157"/>
      <c r="NO10" s="157"/>
      <c r="NP10" s="157"/>
      <c r="NQ10" s="157"/>
      <c r="NR10" s="157"/>
      <c r="NS10" s="157"/>
      <c r="NT10" s="157"/>
      <c r="NU10" s="157"/>
      <c r="NV10" s="157"/>
      <c r="NW10" s="157"/>
      <c r="NX10" s="157"/>
      <c r="NY10" s="157"/>
      <c r="NZ10" s="157"/>
      <c r="OA10" s="157"/>
      <c r="OB10" s="157"/>
      <c r="OC10" s="157"/>
      <c r="OD10" s="157"/>
      <c r="OE10" s="157"/>
      <c r="OF10" s="157"/>
      <c r="OG10" s="157"/>
      <c r="OH10" s="157"/>
      <c r="OI10" s="157"/>
      <c r="OJ10" s="157"/>
      <c r="OK10" s="157"/>
      <c r="OL10" s="157"/>
      <c r="OM10" s="157"/>
      <c r="ON10" s="157"/>
      <c r="OO10" s="157"/>
      <c r="OP10" s="157"/>
      <c r="OQ10" s="157"/>
      <c r="OR10" s="157"/>
      <c r="OS10" s="157"/>
      <c r="OT10" s="157"/>
      <c r="OU10" s="157"/>
      <c r="OV10" s="157"/>
      <c r="OW10" s="157"/>
      <c r="OX10" s="157"/>
      <c r="OY10" s="157"/>
      <c r="OZ10" s="157"/>
      <c r="PA10" s="157"/>
    </row>
    <row r="11" spans="1:417">
      <c r="A11" s="307" t="s">
        <v>879</v>
      </c>
      <c r="C11" s="469">
        <f>([3]segmenty!$H$9)*1000</f>
        <v>-4254000</v>
      </c>
      <c r="D11" s="469">
        <f>([3]segmenty!$H$34)*1000</f>
        <v>-43000</v>
      </c>
      <c r="E11" s="469">
        <f>([3]segmenty!$H$31)*1000</f>
        <v>-40000</v>
      </c>
      <c r="F11" s="469">
        <f>([3]segmenty!$H$25)*1000</f>
        <v>1184000</v>
      </c>
      <c r="H11" s="469">
        <f>[4]segmenty!$H$9*1000</f>
        <v>-18739000</v>
      </c>
      <c r="I11" s="469">
        <f>[4]segmenty!$H$34*1000</f>
        <v>-182000</v>
      </c>
      <c r="J11" s="469">
        <f>[4]segmenty!$H$31*1000</f>
        <v>-173000</v>
      </c>
      <c r="K11" s="469">
        <f>[4]segmenty!$H$25*1000</f>
        <v>1146000</v>
      </c>
      <c r="M11" s="469">
        <f t="shared" si="23"/>
        <v>-4385000</v>
      </c>
      <c r="N11" s="469">
        <f t="shared" si="13"/>
        <v>-48000</v>
      </c>
      <c r="O11" s="469">
        <f t="shared" si="13"/>
        <v>-47000</v>
      </c>
      <c r="P11" s="469">
        <f>K11</f>
        <v>1146000</v>
      </c>
      <c r="R11" s="469">
        <f>([5]segmenty!$H$9)*1000-461000</f>
        <v>-14354000</v>
      </c>
      <c r="S11" s="469">
        <f>([5]segmenty!$H$34)*1000</f>
        <v>-134000</v>
      </c>
      <c r="T11" s="469">
        <f>([5]segmenty!$H$31)*1000</f>
        <v>-126000</v>
      </c>
      <c r="U11" s="469">
        <f>([5]segmenty!$H$25)*1000</f>
        <v>1436000</v>
      </c>
      <c r="W11" s="469">
        <f>('[5]segmenty 3 m-ce'!$H$69)*1000+1000</f>
        <v>-6152000</v>
      </c>
      <c r="X11" s="469">
        <f>('[5]segmenty 3 m-ce'!$H$84)*1000</f>
        <v>-43000</v>
      </c>
      <c r="Y11" s="469">
        <f>('[5]segmenty 3 m-ce'!$H$81)*1000</f>
        <v>-38000</v>
      </c>
      <c r="Z11" s="469">
        <f t="shared" ref="Z11" si="24">U11</f>
        <v>1436000</v>
      </c>
      <c r="AB11" s="469">
        <f>'[11]segmenty prez'!$H$9*1000-462000</f>
        <v>-8202000</v>
      </c>
      <c r="AC11" s="469">
        <f>'[11]segmenty prez'!$H$16*1000</f>
        <v>-91000</v>
      </c>
      <c r="AD11" s="469">
        <f>'[11]segmenty prez'!$H$12*1000</f>
        <v>-88000</v>
      </c>
      <c r="AE11" s="469">
        <f>[11]segmenty!$H$25*1000</f>
        <v>1333000</v>
      </c>
      <c r="AG11" s="469">
        <f>'[11]segmenty 3 m-ce PREZ'!$H$9*1000-69000</f>
        <v>-3412000</v>
      </c>
      <c r="AH11" s="469">
        <f>'[11]segmenty 3 m-ce PREZ'!$H$16*1000</f>
        <v>-44000</v>
      </c>
      <c r="AI11" s="469">
        <f>'[11]segmenty 3 m-ce PREZ'!$H$12*1000</f>
        <v>-42000</v>
      </c>
      <c r="AJ11" s="469">
        <f>AE11</f>
        <v>1333000</v>
      </c>
      <c r="AL11" s="469">
        <v>-4798000</v>
      </c>
      <c r="AM11" s="469">
        <f>'[6]segmenty prez'!$G$16*1000</f>
        <v>-47000</v>
      </c>
      <c r="AN11" s="469">
        <f>'[6]segmenty prez'!$G$12*1000</f>
        <v>-46000</v>
      </c>
      <c r="AO11" s="469">
        <f>'[6]segmenty prez'!$G$27*1000</f>
        <v>1856000</v>
      </c>
      <c r="AQ11" s="469"/>
      <c r="AR11" s="469"/>
      <c r="AS11" s="469"/>
      <c r="AT11" s="469"/>
      <c r="AV11" s="469"/>
      <c r="AW11" s="469"/>
      <c r="AX11" s="469"/>
      <c r="AY11" s="469"/>
      <c r="BA11" s="469"/>
      <c r="BB11" s="469"/>
      <c r="BC11" s="469"/>
      <c r="BD11" s="469"/>
      <c r="BF11" s="469"/>
      <c r="BG11" s="469"/>
      <c r="BH11" s="469"/>
      <c r="BI11" s="469"/>
      <c r="BK11" s="469"/>
      <c r="BL11" s="469"/>
      <c r="BM11" s="469"/>
      <c r="BN11" s="469"/>
      <c r="BP11" s="469"/>
      <c r="BQ11" s="469"/>
      <c r="BR11" s="469"/>
      <c r="BS11" s="469"/>
      <c r="BU11" s="469"/>
      <c r="BV11" s="469"/>
      <c r="BW11" s="469"/>
      <c r="BX11" s="469"/>
      <c r="BZ11" s="469"/>
      <c r="CA11" s="469"/>
      <c r="CB11" s="469"/>
      <c r="CC11" s="469"/>
      <c r="CE11" s="469"/>
      <c r="CF11" s="469"/>
      <c r="CG11" s="469"/>
      <c r="CH11" s="469"/>
      <c r="CJ11" s="469"/>
      <c r="CK11" s="469"/>
      <c r="CL11" s="469"/>
      <c r="CM11" s="469"/>
      <c r="CO11" s="469"/>
      <c r="CP11" s="469"/>
      <c r="CQ11" s="469"/>
      <c r="CR11" s="469"/>
      <c r="CT11" s="469"/>
      <c r="CU11" s="469"/>
      <c r="CV11" s="469"/>
      <c r="CW11" s="469"/>
      <c r="CY11" s="469"/>
      <c r="CZ11" s="469"/>
      <c r="DA11" s="469"/>
      <c r="DB11" s="469"/>
      <c r="DD11" s="469"/>
      <c r="DE11" s="469"/>
      <c r="DF11" s="469"/>
      <c r="DG11" s="469"/>
      <c r="DI11" s="469"/>
      <c r="DJ11" s="469"/>
      <c r="DK11" s="469"/>
      <c r="DL11" s="469"/>
      <c r="DN11" s="469"/>
      <c r="DO11" s="469"/>
      <c r="DP11" s="469"/>
      <c r="DQ11" s="469"/>
      <c r="DS11" s="469"/>
      <c r="DT11" s="469"/>
      <c r="DU11" s="469"/>
      <c r="DV11" s="469"/>
      <c r="DX11" s="469"/>
      <c r="DY11" s="469"/>
      <c r="DZ11" s="469"/>
      <c r="EA11" s="469"/>
      <c r="EC11" s="469"/>
      <c r="ED11" s="469"/>
      <c r="EE11" s="469"/>
      <c r="EF11" s="469"/>
      <c r="EH11" s="469"/>
      <c r="EI11" s="469"/>
      <c r="EJ11" s="469"/>
      <c r="EK11" s="469"/>
      <c r="EM11" s="469"/>
      <c r="EN11" s="469"/>
      <c r="EO11" s="469"/>
      <c r="EP11" s="469"/>
      <c r="ER11" s="469"/>
      <c r="ES11" s="469"/>
      <c r="ET11" s="469"/>
      <c r="EU11" s="469"/>
      <c r="EW11" s="469"/>
      <c r="EX11" s="469"/>
      <c r="EY11" s="469"/>
      <c r="EZ11" s="469"/>
      <c r="FB11" s="469"/>
      <c r="FC11" s="469"/>
      <c r="FD11" s="469"/>
      <c r="FE11" s="469"/>
      <c r="FG11" s="469"/>
      <c r="FH11" s="469"/>
      <c r="FI11" s="469"/>
      <c r="FJ11" s="469"/>
      <c r="FL11" s="469"/>
      <c r="FM11" s="470"/>
      <c r="FN11" s="469"/>
      <c r="FO11" s="469"/>
      <c r="FQ11" s="469"/>
      <c r="FR11" s="470"/>
      <c r="FS11" s="469"/>
      <c r="FT11" s="469"/>
      <c r="FV11" s="469"/>
      <c r="FW11" s="470"/>
      <c r="FX11" s="469"/>
      <c r="FY11" s="469"/>
      <c r="FZ11" s="5"/>
      <c r="GA11" s="343"/>
      <c r="GB11" s="344"/>
      <c r="GC11" s="343"/>
      <c r="GD11" s="343"/>
      <c r="GF11" s="343"/>
      <c r="GG11" s="344"/>
      <c r="GH11" s="343"/>
      <c r="GI11" s="343"/>
      <c r="GK11" s="343"/>
      <c r="GL11" s="344"/>
      <c r="GM11" s="343"/>
      <c r="GN11" s="343"/>
      <c r="GP11" s="343"/>
      <c r="GQ11" s="344"/>
      <c r="GR11" s="343"/>
      <c r="GS11" s="343"/>
      <c r="GV11" s="343"/>
      <c r="GW11" s="344"/>
      <c r="GX11" s="343"/>
      <c r="GY11" s="343"/>
      <c r="HA11" s="343"/>
      <c r="HB11" s="344"/>
      <c r="HC11" s="343"/>
      <c r="HD11" s="343"/>
      <c r="HF11" s="343"/>
      <c r="HG11" s="344"/>
      <c r="HH11" s="343"/>
      <c r="HI11" s="343"/>
      <c r="HK11" s="343"/>
      <c r="HL11" s="343"/>
      <c r="HM11" s="343"/>
      <c r="HN11" s="343"/>
      <c r="HP11" s="343"/>
      <c r="HQ11" s="344"/>
      <c r="HR11" s="343"/>
      <c r="HS11" s="343"/>
      <c r="HU11" s="343"/>
      <c r="HV11" s="344"/>
      <c r="HW11" s="343"/>
      <c r="HX11" s="343"/>
      <c r="HZ11" s="343"/>
      <c r="IA11" s="344"/>
      <c r="IB11" s="343"/>
      <c r="IC11" s="343"/>
      <c r="IE11" s="320"/>
      <c r="IF11" s="321"/>
      <c r="IG11" s="320"/>
      <c r="IH11" s="320"/>
      <c r="IJ11" s="320"/>
      <c r="IK11" s="321"/>
      <c r="IL11" s="320"/>
      <c r="IM11" s="320"/>
      <c r="IO11" s="181"/>
      <c r="IP11" s="184"/>
      <c r="IQ11" s="181"/>
      <c r="IR11" s="181"/>
      <c r="IT11" s="181"/>
      <c r="IU11" s="181"/>
      <c r="IV11" s="181"/>
      <c r="IW11" s="181"/>
      <c r="IY11" s="181"/>
      <c r="IZ11" s="184"/>
      <c r="JA11" s="181"/>
      <c r="JB11" s="181"/>
      <c r="JC11" s="157"/>
      <c r="JD11" s="181"/>
      <c r="JE11" s="181"/>
      <c r="JF11" s="181"/>
      <c r="JG11" s="181"/>
      <c r="JH11" s="181"/>
      <c r="JI11" s="181"/>
      <c r="JJ11" s="181"/>
      <c r="JK11" s="181"/>
      <c r="JL11" s="181"/>
      <c r="JM11" s="157"/>
      <c r="JN11" s="181"/>
      <c r="JO11" s="181"/>
      <c r="JP11" s="181"/>
      <c r="JQ11" s="181"/>
      <c r="JR11" s="157"/>
      <c r="JS11" s="181"/>
      <c r="JT11" s="181"/>
      <c r="JU11" s="181"/>
      <c r="JV11" s="181"/>
      <c r="JW11" s="157"/>
      <c r="JX11" s="181"/>
      <c r="JY11" s="181"/>
      <c r="JZ11" s="181"/>
      <c r="KA11" s="181"/>
      <c r="KB11" s="157"/>
      <c r="KC11" s="181"/>
      <c r="KD11" s="181"/>
      <c r="KE11" s="181"/>
      <c r="KF11" s="181"/>
      <c r="KG11" s="157"/>
      <c r="KH11" s="181"/>
      <c r="KI11" s="181"/>
      <c r="KJ11" s="181"/>
      <c r="KK11" s="181"/>
      <c r="KL11" s="157"/>
      <c r="KM11" s="181"/>
      <c r="KN11" s="181"/>
      <c r="KO11" s="181"/>
      <c r="KP11" s="181"/>
      <c r="KQ11" s="157"/>
      <c r="KR11" s="181"/>
      <c r="KS11" s="181"/>
      <c r="KT11" s="181"/>
      <c r="KU11" s="181"/>
      <c r="KV11" s="157"/>
      <c r="KW11" s="181"/>
      <c r="KX11" s="181"/>
      <c r="KY11" s="181"/>
      <c r="KZ11" s="181"/>
      <c r="LA11" s="157"/>
      <c r="LB11" s="181"/>
      <c r="LC11" s="181"/>
      <c r="LD11" s="181"/>
      <c r="LE11" s="181"/>
      <c r="LF11" s="157"/>
      <c r="LG11" s="181"/>
      <c r="LH11" s="181"/>
      <c r="LI11" s="181"/>
      <c r="LJ11" s="181"/>
      <c r="LK11" s="157"/>
      <c r="LL11" s="181"/>
      <c r="LM11" s="181"/>
      <c r="LN11" s="181"/>
      <c r="LO11" s="181"/>
      <c r="LP11" s="163"/>
      <c r="LQ11" s="181"/>
      <c r="LR11" s="181"/>
      <c r="LS11" s="181"/>
      <c r="LT11" s="181"/>
      <c r="LU11" s="163"/>
      <c r="LV11" s="181"/>
      <c r="LW11" s="181"/>
      <c r="LX11" s="181"/>
      <c r="LY11" s="181"/>
      <c r="LZ11" s="157"/>
      <c r="MA11" s="181"/>
      <c r="MB11" s="181"/>
      <c r="MC11" s="181"/>
      <c r="MD11" s="181"/>
      <c r="ME11" s="157"/>
      <c r="MF11" s="181"/>
      <c r="MG11" s="181"/>
      <c r="MH11" s="181"/>
      <c r="MI11" s="181"/>
      <c r="MJ11" s="157"/>
      <c r="MK11" s="181"/>
      <c r="ML11" s="181"/>
      <c r="MM11" s="181"/>
      <c r="MN11" s="181"/>
      <c r="MO11" s="157"/>
      <c r="MP11" s="181"/>
      <c r="MQ11" s="181"/>
      <c r="MR11" s="181"/>
      <c r="MS11" s="181"/>
      <c r="MT11" s="157"/>
      <c r="MU11" s="163"/>
      <c r="MV11" s="156"/>
      <c r="MW11" s="156"/>
      <c r="MX11" s="156"/>
      <c r="MY11" s="180"/>
      <c r="MZ11" s="157"/>
      <c r="NA11" s="156"/>
      <c r="NB11" s="156"/>
      <c r="NC11" s="156"/>
      <c r="ND11" s="180"/>
      <c r="NE11" s="157"/>
      <c r="NF11" s="156"/>
      <c r="NG11" s="156"/>
      <c r="NH11" s="156"/>
      <c r="NI11" s="180"/>
      <c r="NJ11" s="157"/>
      <c r="NK11" s="157"/>
      <c r="NL11" s="157"/>
      <c r="NM11" s="157"/>
      <c r="NN11" s="157"/>
      <c r="NO11" s="157"/>
      <c r="NP11" s="157"/>
      <c r="NQ11" s="157"/>
      <c r="NR11" s="157"/>
      <c r="NS11" s="157"/>
      <c r="NT11" s="157"/>
      <c r="NU11" s="157"/>
      <c r="NV11" s="157"/>
      <c r="NW11" s="157"/>
      <c r="NX11" s="157"/>
      <c r="NY11" s="157"/>
      <c r="NZ11" s="157"/>
      <c r="OA11" s="157"/>
      <c r="OB11" s="157"/>
      <c r="OC11" s="157"/>
      <c r="OD11" s="157"/>
      <c r="OE11" s="157"/>
      <c r="OF11" s="157"/>
      <c r="OG11" s="157"/>
      <c r="OH11" s="157"/>
      <c r="OI11" s="157"/>
      <c r="OJ11" s="157"/>
      <c r="OK11" s="157"/>
      <c r="OL11" s="157"/>
      <c r="OM11" s="157"/>
      <c r="ON11" s="157"/>
      <c r="OO11" s="157"/>
      <c r="OP11" s="157"/>
      <c r="OQ11" s="157"/>
      <c r="OR11" s="157"/>
      <c r="OS11" s="157"/>
      <c r="OT11" s="157"/>
      <c r="OU11" s="157"/>
      <c r="OV11" s="157"/>
      <c r="OW11" s="157"/>
      <c r="OX11" s="157"/>
      <c r="OY11" s="157"/>
      <c r="OZ11" s="157"/>
      <c r="PA11" s="157"/>
    </row>
    <row r="12" spans="1:417">
      <c r="D12" s="146"/>
      <c r="I12" s="146"/>
      <c r="N12" s="146"/>
      <c r="S12" s="146"/>
      <c r="T12" s="637"/>
      <c r="X12" s="146"/>
      <c r="AC12" s="146"/>
      <c r="AH12" s="146"/>
      <c r="AL12" s="637">
        <f>SUM(AL4:AL11)/1000-'[12]Hist. dane kwart. - Q figures'!O5</f>
        <v>0</v>
      </c>
      <c r="AM12" s="637"/>
      <c r="AN12" s="637">
        <f>SUM(AN4:AN11)/1000-'[12]Hist. dane kwart. - Q figures'!O13</f>
        <v>0</v>
      </c>
      <c r="AR12" s="146"/>
      <c r="AW12" s="146"/>
      <c r="BB12" s="146"/>
      <c r="BG12" s="146"/>
      <c r="BL12" s="146"/>
      <c r="BQ12" s="146"/>
      <c r="BV12" s="146"/>
      <c r="CA12" s="146"/>
      <c r="CF12" s="146"/>
      <c r="CK12" s="146"/>
      <c r="CP12" s="146"/>
      <c r="CU12" s="146"/>
      <c r="CZ12" s="146"/>
      <c r="DE12" s="146"/>
      <c r="DJ12" s="146"/>
      <c r="DO12" s="146"/>
      <c r="DT12" s="146"/>
      <c r="DY12" s="146"/>
      <c r="ED12" s="146"/>
      <c r="EI12" s="146"/>
      <c r="EN12" s="146"/>
      <c r="ES12" s="146"/>
      <c r="EX12" s="146"/>
      <c r="FC12" s="146"/>
      <c r="FH12" s="146"/>
      <c r="FM12" s="146"/>
      <c r="FR12" s="146"/>
      <c r="FW12" s="146"/>
      <c r="GB12" s="345"/>
      <c r="GG12" s="345"/>
      <c r="GL12" s="345"/>
      <c r="GQ12" s="345"/>
      <c r="GW12" s="345"/>
      <c r="HB12" s="345"/>
      <c r="HG12" s="345"/>
      <c r="HL12" s="345"/>
      <c r="HQ12" s="345"/>
      <c r="HV12" s="345"/>
      <c r="IA12" s="345"/>
      <c r="IF12" s="182"/>
      <c r="IK12" s="182"/>
      <c r="IO12" s="157"/>
      <c r="IP12" s="182"/>
      <c r="IQ12" s="157"/>
      <c r="IR12" s="157"/>
      <c r="IT12" s="157"/>
      <c r="IU12" s="157"/>
      <c r="IV12" s="157"/>
      <c r="IW12" s="157"/>
      <c r="IY12" s="157"/>
      <c r="IZ12" s="182"/>
      <c r="JA12" s="157"/>
      <c r="JB12" s="157"/>
      <c r="JC12" s="157"/>
      <c r="JD12" s="157"/>
      <c r="JE12" s="157"/>
      <c r="JF12" s="157"/>
      <c r="JG12" s="157"/>
      <c r="JH12" s="157"/>
      <c r="JI12" s="157"/>
      <c r="JJ12" s="157"/>
      <c r="JK12" s="157"/>
      <c r="JL12" s="157"/>
      <c r="JM12" s="157"/>
      <c r="JN12" s="157"/>
      <c r="JO12" s="157"/>
      <c r="JP12" s="157"/>
      <c r="JQ12" s="157"/>
      <c r="JR12" s="157"/>
      <c r="JS12" s="157"/>
      <c r="JT12" s="157"/>
      <c r="JU12" s="157"/>
      <c r="JV12" s="157"/>
      <c r="JW12" s="157"/>
      <c r="JX12" s="157"/>
      <c r="JY12" s="157"/>
      <c r="JZ12" s="157"/>
      <c r="KA12" s="157"/>
      <c r="KB12" s="157"/>
      <c r="KC12" s="157"/>
      <c r="KD12" s="157"/>
      <c r="KE12" s="157"/>
      <c r="KF12" s="157"/>
      <c r="KG12" s="157"/>
      <c r="KH12" s="157"/>
      <c r="KI12" s="157"/>
      <c r="KJ12" s="157"/>
      <c r="KK12" s="157"/>
      <c r="KL12" s="157"/>
      <c r="KM12" s="157"/>
      <c r="KN12" s="157"/>
      <c r="KO12" s="157"/>
      <c r="KP12" s="157"/>
      <c r="KQ12" s="157"/>
      <c r="KR12" s="157"/>
      <c r="KS12" s="157"/>
      <c r="KT12" s="157"/>
      <c r="KU12" s="157"/>
      <c r="KV12" s="157"/>
      <c r="KW12" s="157"/>
      <c r="KX12" s="157"/>
      <c r="KY12" s="157"/>
      <c r="KZ12" s="157"/>
      <c r="LA12" s="157"/>
      <c r="LB12" s="157"/>
      <c r="LC12" s="15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57"/>
      <c r="MG12" s="157"/>
      <c r="MH12" s="157"/>
      <c r="MI12" s="157"/>
      <c r="MJ12" s="157"/>
      <c r="MK12" s="157"/>
      <c r="ML12" s="157"/>
      <c r="MM12" s="157"/>
      <c r="MN12" s="157"/>
      <c r="MO12" s="157"/>
      <c r="MP12" s="157"/>
      <c r="MQ12" s="157"/>
      <c r="MR12" s="157"/>
      <c r="MS12" s="157"/>
      <c r="MT12" s="157"/>
      <c r="MU12" s="163" t="s">
        <v>86</v>
      </c>
      <c r="MV12" s="156">
        <v>15277451</v>
      </c>
      <c r="MW12" s="156">
        <v>608213</v>
      </c>
      <c r="MX12" s="156">
        <v>582307</v>
      </c>
      <c r="MY12" s="180">
        <v>3715551</v>
      </c>
      <c r="MZ12" s="157"/>
      <c r="NA12" s="156">
        <v>11266992</v>
      </c>
      <c r="NB12" s="156">
        <v>501464</v>
      </c>
      <c r="NC12" s="156">
        <v>478799</v>
      </c>
      <c r="ND12" s="180">
        <v>2413083</v>
      </c>
      <c r="NE12" s="157"/>
      <c r="NF12" s="156">
        <v>7575109</v>
      </c>
      <c r="NG12" s="156">
        <v>391634</v>
      </c>
      <c r="NH12" s="156">
        <v>373508</v>
      </c>
      <c r="NI12" s="180">
        <v>2040729</v>
      </c>
      <c r="NJ12" s="157"/>
      <c r="NK12" s="157"/>
      <c r="NL12" s="157"/>
      <c r="NM12" s="157"/>
      <c r="NN12" s="157"/>
      <c r="NO12" s="157"/>
      <c r="NP12" s="157"/>
      <c r="NQ12" s="157"/>
      <c r="NR12" s="157"/>
      <c r="NS12" s="157"/>
      <c r="NT12" s="157"/>
      <c r="NU12" s="157"/>
      <c r="NV12" s="157"/>
      <c r="NW12" s="157"/>
      <c r="NX12" s="157"/>
      <c r="NY12" s="157"/>
      <c r="NZ12" s="157"/>
      <c r="OA12" s="157"/>
      <c r="OB12" s="157"/>
      <c r="OC12" s="157"/>
      <c r="OD12" s="157"/>
      <c r="OE12" s="157"/>
      <c r="OF12" s="157"/>
      <c r="OG12" s="157"/>
      <c r="OH12" s="157"/>
      <c r="OI12" s="157"/>
      <c r="OJ12" s="157"/>
      <c r="OK12" s="157"/>
      <c r="OL12" s="157"/>
      <c r="OM12" s="157"/>
      <c r="ON12" s="157"/>
      <c r="OO12" s="157"/>
      <c r="OP12" s="157"/>
      <c r="OQ12" s="157"/>
      <c r="OR12" s="157"/>
      <c r="OS12" s="157"/>
      <c r="OT12" s="157"/>
      <c r="OU12" s="157"/>
      <c r="OV12" s="157"/>
      <c r="OW12" s="157"/>
      <c r="OX12" s="157"/>
      <c r="OY12" s="157"/>
      <c r="OZ12" s="157"/>
      <c r="PA12" s="157"/>
    </row>
    <row r="13" spans="1:417">
      <c r="D13" s="146"/>
      <c r="I13" s="146"/>
      <c r="N13" s="146"/>
      <c r="S13" s="146"/>
      <c r="X13" s="146"/>
      <c r="AC13" s="146"/>
      <c r="AH13" s="146"/>
      <c r="AM13" s="146"/>
      <c r="AR13" s="146"/>
      <c r="AW13" s="146"/>
      <c r="BB13" s="146"/>
      <c r="BG13" s="146"/>
      <c r="BL13" s="146"/>
      <c r="BQ13" s="146"/>
      <c r="BV13" s="146"/>
      <c r="CA13" s="146"/>
      <c r="CF13" s="146"/>
      <c r="CK13" s="146"/>
      <c r="CP13" s="146"/>
      <c r="CU13" s="146"/>
      <c r="CZ13" s="146"/>
      <c r="DE13" s="146"/>
      <c r="DJ13" s="146"/>
      <c r="DO13" s="146"/>
      <c r="DT13" s="146"/>
      <c r="DY13" s="146"/>
      <c r="ED13" s="146"/>
      <c r="EI13" s="146"/>
      <c r="EN13" s="146"/>
      <c r="ES13" s="146"/>
      <c r="EX13" s="146"/>
      <c r="FC13" s="146"/>
      <c r="FH13" s="146"/>
      <c r="FM13" s="146"/>
      <c r="FR13" s="146"/>
      <c r="FW13" s="146"/>
      <c r="GB13" s="345"/>
      <c r="GG13" s="345"/>
      <c r="GL13" s="345"/>
      <c r="GQ13" s="345"/>
      <c r="GW13" s="345"/>
      <c r="HB13" s="345"/>
      <c r="HG13" s="345"/>
      <c r="HL13" s="345"/>
      <c r="HQ13" s="345"/>
      <c r="HV13" s="345"/>
      <c r="IA13" s="345"/>
      <c r="IF13" s="182"/>
      <c r="IK13" s="182"/>
      <c r="IO13" s="157"/>
      <c r="IP13" s="182"/>
      <c r="IQ13" s="157"/>
      <c r="IR13" s="157"/>
      <c r="IT13" s="157"/>
      <c r="IU13" s="157"/>
      <c r="IV13" s="157"/>
      <c r="IW13" s="157"/>
      <c r="IY13" s="157"/>
      <c r="IZ13" s="182"/>
      <c r="JA13" s="157"/>
      <c r="JB13" s="157"/>
      <c r="JC13" s="157"/>
      <c r="JD13" s="157"/>
      <c r="JE13" s="157"/>
      <c r="JF13" s="157"/>
      <c r="JG13" s="157"/>
      <c r="JH13" s="157"/>
      <c r="JI13" s="157"/>
      <c r="JJ13" s="157"/>
      <c r="JK13" s="157"/>
      <c r="JL13" s="157"/>
      <c r="JM13" s="157"/>
      <c r="JN13" s="157"/>
      <c r="JO13" s="157"/>
      <c r="JP13" s="157"/>
      <c r="JQ13" s="157"/>
      <c r="JR13" s="157"/>
      <c r="JS13" s="157"/>
      <c r="JT13" s="157"/>
      <c r="JU13" s="157"/>
      <c r="JV13" s="157"/>
      <c r="JW13" s="157"/>
      <c r="JX13" s="157"/>
      <c r="JY13" s="157"/>
      <c r="JZ13" s="157"/>
      <c r="KA13" s="157"/>
      <c r="KB13" s="157"/>
      <c r="KC13" s="157"/>
      <c r="KD13" s="157"/>
      <c r="KE13" s="157"/>
      <c r="KF13" s="157"/>
      <c r="KG13" s="157"/>
      <c r="KH13" s="157"/>
      <c r="KI13" s="157"/>
      <c r="KJ13" s="157"/>
      <c r="KK13" s="157"/>
      <c r="KL13" s="157"/>
      <c r="KM13" s="157"/>
      <c r="KN13" s="157"/>
      <c r="KO13" s="157"/>
      <c r="KP13" s="157"/>
      <c r="KQ13" s="157"/>
      <c r="KR13" s="157"/>
      <c r="KS13" s="157"/>
      <c r="KT13" s="157"/>
      <c r="KU13" s="157"/>
      <c r="KV13" s="157"/>
      <c r="KW13" s="157"/>
      <c r="KX13" s="157"/>
      <c r="KY13" s="157"/>
      <c r="KZ13" s="157"/>
      <c r="LA13" s="157"/>
      <c r="LB13" s="157"/>
      <c r="LC13" s="157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  <c r="MJ13" s="157"/>
      <c r="MK13" s="157"/>
      <c r="ML13" s="157"/>
      <c r="MM13" s="157"/>
      <c r="MN13" s="157"/>
      <c r="MO13" s="157"/>
      <c r="MP13" s="157"/>
      <c r="MQ13" s="157"/>
      <c r="MR13" s="157"/>
      <c r="MS13" s="157"/>
      <c r="MT13" s="157"/>
      <c r="MU13" s="163" t="s">
        <v>87</v>
      </c>
      <c r="MV13" s="156">
        <v>610021</v>
      </c>
      <c r="MW13" s="156">
        <v>84165</v>
      </c>
      <c r="MX13" s="156">
        <v>41120</v>
      </c>
      <c r="MY13" s="156">
        <v>267663</v>
      </c>
      <c r="MZ13" s="157"/>
      <c r="NA13" s="156">
        <v>456151</v>
      </c>
      <c r="NB13" s="156">
        <v>86553</v>
      </c>
      <c r="NC13" s="156">
        <v>56211</v>
      </c>
      <c r="ND13" s="156">
        <v>230454</v>
      </c>
      <c r="NE13" s="157"/>
      <c r="NF13" s="156">
        <v>300764</v>
      </c>
      <c r="NG13" s="156">
        <v>55352</v>
      </c>
      <c r="NH13" s="156">
        <v>36866</v>
      </c>
      <c r="NI13" s="156">
        <v>222294</v>
      </c>
      <c r="NJ13" s="157"/>
      <c r="NK13" s="157"/>
      <c r="NL13" s="157"/>
      <c r="NM13" s="157"/>
      <c r="NN13" s="157"/>
      <c r="NO13" s="157"/>
      <c r="NP13" s="157"/>
      <c r="NQ13" s="157"/>
      <c r="NR13" s="157"/>
      <c r="NS13" s="157"/>
      <c r="NT13" s="157"/>
      <c r="NU13" s="157"/>
      <c r="NV13" s="157"/>
      <c r="NW13" s="157"/>
      <c r="NX13" s="157"/>
      <c r="NY13" s="157"/>
      <c r="NZ13" s="157"/>
      <c r="OA13" s="157"/>
      <c r="OB13" s="157"/>
      <c r="OC13" s="157"/>
      <c r="OD13" s="157"/>
      <c r="OE13" s="157"/>
      <c r="OF13" s="157"/>
      <c r="OG13" s="157"/>
      <c r="OH13" s="157"/>
      <c r="OI13" s="157"/>
      <c r="OJ13" s="157"/>
      <c r="OK13" s="157"/>
      <c r="OL13" s="157"/>
      <c r="OM13" s="157"/>
      <c r="ON13" s="157"/>
      <c r="OO13" s="157"/>
      <c r="OP13" s="157"/>
      <c r="OQ13" s="157"/>
      <c r="OR13" s="157"/>
      <c r="OS13" s="157"/>
      <c r="OT13" s="157"/>
      <c r="OU13" s="157"/>
      <c r="OV13" s="157"/>
      <c r="OW13" s="157"/>
      <c r="OX13" s="157"/>
      <c r="OY13" s="157"/>
      <c r="OZ13" s="157"/>
      <c r="PA13" s="157"/>
    </row>
    <row r="14" spans="1:417" ht="89.25">
      <c r="A14" s="62" t="s">
        <v>372</v>
      </c>
      <c r="C14" s="60" t="s">
        <v>846</v>
      </c>
      <c r="D14" s="60" t="s">
        <v>847</v>
      </c>
      <c r="E14" s="60" t="s">
        <v>848</v>
      </c>
      <c r="F14" s="60" t="s">
        <v>975</v>
      </c>
      <c r="H14" s="60" t="s">
        <v>966</v>
      </c>
      <c r="I14" s="60" t="s">
        <v>967</v>
      </c>
      <c r="J14" s="60" t="s">
        <v>968</v>
      </c>
      <c r="K14" s="60" t="s">
        <v>836</v>
      </c>
      <c r="M14" s="60" t="s">
        <v>837</v>
      </c>
      <c r="N14" s="60" t="s">
        <v>838</v>
      </c>
      <c r="O14" s="60" t="s">
        <v>839</v>
      </c>
      <c r="P14" s="60" t="s">
        <v>836</v>
      </c>
      <c r="R14" s="60" t="s">
        <v>953</v>
      </c>
      <c r="S14" s="60" t="s">
        <v>952</v>
      </c>
      <c r="T14" s="60" t="s">
        <v>951</v>
      </c>
      <c r="U14" s="60" t="s">
        <v>836</v>
      </c>
      <c r="W14" s="60" t="s">
        <v>948</v>
      </c>
      <c r="X14" s="60" t="s">
        <v>947</v>
      </c>
      <c r="Y14" s="60" t="s">
        <v>945</v>
      </c>
      <c r="Z14" s="60" t="s">
        <v>836</v>
      </c>
      <c r="AB14" s="60" t="s">
        <v>942</v>
      </c>
      <c r="AC14" s="60" t="s">
        <v>941</v>
      </c>
      <c r="AD14" s="60" t="s">
        <v>938</v>
      </c>
      <c r="AE14" s="60" t="s">
        <v>836</v>
      </c>
      <c r="AG14" s="60" t="s">
        <v>935</v>
      </c>
      <c r="AH14" s="60" t="s">
        <v>936</v>
      </c>
      <c r="AI14" s="60" t="s">
        <v>937</v>
      </c>
      <c r="AJ14" s="60" t="s">
        <v>836</v>
      </c>
      <c r="AL14" s="60" t="s">
        <v>932</v>
      </c>
      <c r="AM14" s="60" t="s">
        <v>933</v>
      </c>
      <c r="AN14" s="60" t="s">
        <v>934</v>
      </c>
      <c r="AO14" s="60" t="s">
        <v>836</v>
      </c>
      <c r="AQ14" s="60" t="s">
        <v>833</v>
      </c>
      <c r="AR14" s="60" t="s">
        <v>834</v>
      </c>
      <c r="AS14" s="60" t="s">
        <v>835</v>
      </c>
      <c r="AT14" s="60" t="s">
        <v>788</v>
      </c>
      <c r="AV14" s="60" t="s">
        <v>764</v>
      </c>
      <c r="AW14" s="60" t="s">
        <v>765</v>
      </c>
      <c r="AX14" s="60" t="s">
        <v>766</v>
      </c>
      <c r="AY14" s="60" t="s">
        <v>788</v>
      </c>
      <c r="BA14" s="60" t="s">
        <v>738</v>
      </c>
      <c r="BB14" s="60" t="s">
        <v>739</v>
      </c>
      <c r="BC14" s="60" t="s">
        <v>740</v>
      </c>
      <c r="BD14" s="60" t="s">
        <v>788</v>
      </c>
      <c r="BF14" s="60" t="s">
        <v>734</v>
      </c>
      <c r="BG14" s="60" t="s">
        <v>735</v>
      </c>
      <c r="BH14" s="60" t="s">
        <v>736</v>
      </c>
      <c r="BI14" s="60" t="s">
        <v>788</v>
      </c>
      <c r="BK14" s="60" t="s">
        <v>716</v>
      </c>
      <c r="BL14" s="60" t="s">
        <v>717</v>
      </c>
      <c r="BM14" s="60" t="s">
        <v>804</v>
      </c>
      <c r="BN14" s="60" t="s">
        <v>788</v>
      </c>
      <c r="BP14" s="60" t="s">
        <v>721</v>
      </c>
      <c r="BQ14" s="60" t="s">
        <v>722</v>
      </c>
      <c r="BR14" s="60" t="s">
        <v>806</v>
      </c>
      <c r="BS14" s="60" t="s">
        <v>788</v>
      </c>
      <c r="BU14" s="60" t="s">
        <v>703</v>
      </c>
      <c r="BV14" s="60" t="s">
        <v>704</v>
      </c>
      <c r="BW14" s="60" t="s">
        <v>786</v>
      </c>
      <c r="BX14" s="60" t="s">
        <v>788</v>
      </c>
      <c r="BZ14" s="60" t="s">
        <v>671</v>
      </c>
      <c r="CA14" s="60" t="s">
        <v>672</v>
      </c>
      <c r="CB14" s="60" t="s">
        <v>673</v>
      </c>
      <c r="CC14" s="60" t="s">
        <v>678</v>
      </c>
      <c r="CE14" s="60" t="s">
        <v>770</v>
      </c>
      <c r="CF14" s="60" t="s">
        <v>771</v>
      </c>
      <c r="CG14" s="60" t="s">
        <v>772</v>
      </c>
      <c r="CH14" s="60" t="str">
        <f>CC14</f>
        <v>Aktywa ogółem na dzień 
31 grudnia 2021 / Total assets as of 31.12.2021</v>
      </c>
      <c r="CJ14" s="60" t="s">
        <v>655</v>
      </c>
      <c r="CK14" s="60" t="s">
        <v>656</v>
      </c>
      <c r="CL14" s="60" t="s">
        <v>657</v>
      </c>
      <c r="CM14" s="60" t="s">
        <v>658</v>
      </c>
      <c r="CO14" s="60" t="s">
        <v>659</v>
      </c>
      <c r="CP14" s="60" t="s">
        <v>660</v>
      </c>
      <c r="CQ14" s="60" t="s">
        <v>661</v>
      </c>
      <c r="CR14" s="60" t="str">
        <f>CM14</f>
        <v>Aktywa ogółem na dzień 
30 września 2021 / Total assets as of 30.09.2021</v>
      </c>
      <c r="CT14" s="60" t="s">
        <v>724</v>
      </c>
      <c r="CU14" s="60" t="s">
        <v>647</v>
      </c>
      <c r="CV14" s="60" t="s">
        <v>725</v>
      </c>
      <c r="CW14" s="60" t="s">
        <v>649</v>
      </c>
      <c r="CY14" s="60" t="s">
        <v>643</v>
      </c>
      <c r="CZ14" s="60" t="s">
        <v>644</v>
      </c>
      <c r="DA14" s="60" t="s">
        <v>720</v>
      </c>
      <c r="DB14" s="60" t="s">
        <v>649</v>
      </c>
      <c r="DD14" s="60" t="s">
        <v>635</v>
      </c>
      <c r="DE14" s="60" t="s">
        <v>704</v>
      </c>
      <c r="DF14" s="60" t="s">
        <v>705</v>
      </c>
      <c r="DG14" s="60" t="s">
        <v>638</v>
      </c>
      <c r="DI14" s="60" t="s">
        <v>614</v>
      </c>
      <c r="DJ14" s="60" t="s">
        <v>615</v>
      </c>
      <c r="DK14" s="60" t="s">
        <v>616</v>
      </c>
      <c r="DL14" s="60" t="s">
        <v>623</v>
      </c>
      <c r="DN14" s="60" t="s">
        <v>675</v>
      </c>
      <c r="DO14" s="60" t="s">
        <v>676</v>
      </c>
      <c r="DP14" s="60" t="s">
        <v>677</v>
      </c>
      <c r="DQ14" s="60" t="s">
        <v>623</v>
      </c>
      <c r="DS14" s="60" t="s">
        <v>599</v>
      </c>
      <c r="DT14" s="60" t="s">
        <v>600</v>
      </c>
      <c r="DU14" s="60" t="s">
        <v>601</v>
      </c>
      <c r="DV14" s="60" t="s">
        <v>602</v>
      </c>
      <c r="DX14" s="60" t="s">
        <v>603</v>
      </c>
      <c r="DY14" s="60" t="s">
        <v>604</v>
      </c>
      <c r="DZ14" s="60" t="s">
        <v>605</v>
      </c>
      <c r="EA14" s="60" t="s">
        <v>602</v>
      </c>
      <c r="EC14" s="60" t="s">
        <v>650</v>
      </c>
      <c r="ED14" s="60" t="s">
        <v>593</v>
      </c>
      <c r="EE14" s="60" t="s">
        <v>594</v>
      </c>
      <c r="EF14" s="60" t="s">
        <v>651</v>
      </c>
      <c r="EH14" s="60" t="s">
        <v>587</v>
      </c>
      <c r="EI14" s="60" t="s">
        <v>589</v>
      </c>
      <c r="EJ14" s="60" t="s">
        <v>590</v>
      </c>
      <c r="EK14" s="60" t="s">
        <v>651</v>
      </c>
      <c r="EM14" s="60" t="s">
        <v>577</v>
      </c>
      <c r="EN14" s="60" t="s">
        <v>578</v>
      </c>
      <c r="EO14" s="60" t="s">
        <v>579</v>
      </c>
      <c r="EP14" s="60" t="s">
        <v>580</v>
      </c>
      <c r="ER14" s="60" t="s">
        <v>571</v>
      </c>
      <c r="ES14" s="60" t="s">
        <v>572</v>
      </c>
      <c r="ET14" s="60" t="s">
        <v>573</v>
      </c>
      <c r="EU14" s="60" t="s">
        <v>570</v>
      </c>
      <c r="EW14" s="60" t="s">
        <v>620</v>
      </c>
      <c r="EX14" s="60" t="s">
        <v>621</v>
      </c>
      <c r="EY14" s="60" t="s">
        <v>622</v>
      </c>
      <c r="EZ14" s="60" t="s">
        <v>570</v>
      </c>
      <c r="FB14" s="60" t="s">
        <v>556</v>
      </c>
      <c r="FC14" s="60" t="s">
        <v>557</v>
      </c>
      <c r="FD14" s="60" t="s">
        <v>558</v>
      </c>
      <c r="FE14" s="60" t="s">
        <v>555</v>
      </c>
      <c r="FG14" s="60" t="s">
        <v>552</v>
      </c>
      <c r="FH14" s="60" t="s">
        <v>553</v>
      </c>
      <c r="FI14" s="60" t="s">
        <v>554</v>
      </c>
      <c r="FJ14" s="60" t="s">
        <v>555</v>
      </c>
      <c r="FL14" s="60" t="s">
        <v>540</v>
      </c>
      <c r="FM14" s="60" t="s">
        <v>541</v>
      </c>
      <c r="FN14" s="60" t="s">
        <v>542</v>
      </c>
      <c r="FO14" s="60" t="s">
        <v>596</v>
      </c>
      <c r="FQ14" s="60" t="s">
        <v>544</v>
      </c>
      <c r="FR14" s="60" t="s">
        <v>545</v>
      </c>
      <c r="FS14" s="60" t="s">
        <v>546</v>
      </c>
      <c r="FT14" s="60" t="s">
        <v>596</v>
      </c>
      <c r="FV14" s="60" t="s">
        <v>529</v>
      </c>
      <c r="FW14" s="60" t="s">
        <v>530</v>
      </c>
      <c r="FX14" s="60" t="s">
        <v>531</v>
      </c>
      <c r="FY14" s="60" t="s">
        <v>532</v>
      </c>
      <c r="GA14" s="340" t="s">
        <v>516</v>
      </c>
      <c r="GB14" s="340" t="s">
        <v>517</v>
      </c>
      <c r="GC14" s="340" t="s">
        <v>518</v>
      </c>
      <c r="GD14" s="340" t="s">
        <v>519</v>
      </c>
      <c r="GF14" s="340" t="s">
        <v>522</v>
      </c>
      <c r="GG14" s="340" t="s">
        <v>523</v>
      </c>
      <c r="GH14" s="340" t="s">
        <v>524</v>
      </c>
      <c r="GI14" s="340" t="s">
        <v>519</v>
      </c>
      <c r="GK14" s="340" t="s">
        <v>501</v>
      </c>
      <c r="GL14" s="340" t="s">
        <v>502</v>
      </c>
      <c r="GM14" s="340" t="s">
        <v>503</v>
      </c>
      <c r="GN14" s="340" t="s">
        <v>504</v>
      </c>
      <c r="GP14" s="340" t="s">
        <v>505</v>
      </c>
      <c r="GQ14" s="340" t="s">
        <v>506</v>
      </c>
      <c r="GR14" s="340" t="s">
        <v>507</v>
      </c>
      <c r="GS14" s="340" t="s">
        <v>504</v>
      </c>
      <c r="GV14" s="340" t="s">
        <v>492</v>
      </c>
      <c r="GW14" s="340" t="s">
        <v>493</v>
      </c>
      <c r="GX14" s="340" t="s">
        <v>494</v>
      </c>
      <c r="GY14" s="340" t="s">
        <v>460</v>
      </c>
      <c r="HA14" s="340" t="s">
        <v>543</v>
      </c>
      <c r="HB14" s="340" t="s">
        <v>458</v>
      </c>
      <c r="HC14" s="340" t="s">
        <v>459</v>
      </c>
      <c r="HD14" s="340" t="s">
        <v>460</v>
      </c>
      <c r="HF14" s="340" t="s">
        <v>109</v>
      </c>
      <c r="HG14" s="340" t="s">
        <v>110</v>
      </c>
      <c r="HH14" s="340" t="s">
        <v>112</v>
      </c>
      <c r="HI14" s="340" t="s">
        <v>114</v>
      </c>
      <c r="HK14" s="340" t="s">
        <v>201</v>
      </c>
      <c r="HL14" s="340" t="s">
        <v>520</v>
      </c>
      <c r="HM14" s="340" t="s">
        <v>521</v>
      </c>
      <c r="HN14" s="340" t="s">
        <v>121</v>
      </c>
      <c r="HP14" s="340" t="s">
        <v>116</v>
      </c>
      <c r="HQ14" s="340" t="s">
        <v>525</v>
      </c>
      <c r="HR14" s="340" t="s">
        <v>119</v>
      </c>
      <c r="HS14" s="340" t="s">
        <v>121</v>
      </c>
      <c r="HU14" s="340" t="s">
        <v>363</v>
      </c>
      <c r="HV14" s="340" t="s">
        <v>508</v>
      </c>
      <c r="HW14" s="340" t="s">
        <v>509</v>
      </c>
      <c r="HX14" s="340" t="s">
        <v>121</v>
      </c>
      <c r="HZ14" s="340" t="s">
        <v>129</v>
      </c>
      <c r="IA14" s="340" t="s">
        <v>510</v>
      </c>
      <c r="IB14" s="340" t="s">
        <v>132</v>
      </c>
      <c r="IC14" s="340" t="s">
        <v>121</v>
      </c>
      <c r="IE14" s="177" t="s">
        <v>144</v>
      </c>
      <c r="IF14" s="177" t="s">
        <v>496</v>
      </c>
      <c r="IG14" s="177" t="s">
        <v>148</v>
      </c>
      <c r="IH14" s="177" t="s">
        <v>121</v>
      </c>
      <c r="IJ14" s="177" t="s">
        <v>136</v>
      </c>
      <c r="IK14" s="177" t="s">
        <v>495</v>
      </c>
      <c r="IL14" s="177" t="s">
        <v>140</v>
      </c>
      <c r="IM14" s="177" t="s">
        <v>121</v>
      </c>
      <c r="IO14" s="177" t="s">
        <v>150</v>
      </c>
      <c r="IP14" s="177" t="s">
        <v>111</v>
      </c>
      <c r="IQ14" s="177" t="s">
        <v>113</v>
      </c>
      <c r="IR14" s="177" t="s">
        <v>121</v>
      </c>
      <c r="IT14" s="177" t="s">
        <v>122</v>
      </c>
      <c r="IU14" s="177" t="s">
        <v>125</v>
      </c>
      <c r="IV14" s="177" t="s">
        <v>126</v>
      </c>
      <c r="IW14" s="177" t="s">
        <v>127</v>
      </c>
      <c r="IY14" s="177" t="s">
        <v>200</v>
      </c>
      <c r="IZ14" s="177" t="s">
        <v>118</v>
      </c>
      <c r="JA14" s="177" t="s">
        <v>120</v>
      </c>
      <c r="JB14" s="177" t="s">
        <v>143</v>
      </c>
      <c r="JC14" s="157"/>
      <c r="JD14" s="177" t="s">
        <v>364</v>
      </c>
      <c r="JE14" s="177" t="s">
        <v>365</v>
      </c>
      <c r="JF14" s="177" t="s">
        <v>368</v>
      </c>
      <c r="JG14" s="177" t="s">
        <v>135</v>
      </c>
      <c r="JH14" s="177"/>
      <c r="JI14" s="177" t="s">
        <v>199</v>
      </c>
      <c r="JJ14" s="177" t="s">
        <v>131</v>
      </c>
      <c r="JK14" s="177" t="s">
        <v>133</v>
      </c>
      <c r="JL14" s="177" t="s">
        <v>135</v>
      </c>
      <c r="JM14" s="157"/>
      <c r="JN14" s="177" t="s">
        <v>145</v>
      </c>
      <c r="JO14" s="177" t="s">
        <v>147</v>
      </c>
      <c r="JP14" s="177" t="s">
        <v>149</v>
      </c>
      <c r="JQ14" s="177" t="s">
        <v>127</v>
      </c>
      <c r="JR14" s="157"/>
      <c r="JS14" s="177" t="s">
        <v>137</v>
      </c>
      <c r="JT14" s="177" t="s">
        <v>139</v>
      </c>
      <c r="JU14" s="177" t="s">
        <v>141</v>
      </c>
      <c r="JV14" s="177" t="s">
        <v>143</v>
      </c>
      <c r="JW14" s="157"/>
      <c r="JX14" s="177" t="s">
        <v>151</v>
      </c>
      <c r="JY14" s="177" t="s">
        <v>153</v>
      </c>
      <c r="JZ14" s="177" t="s">
        <v>154</v>
      </c>
      <c r="KA14" s="177" t="s">
        <v>143</v>
      </c>
      <c r="KB14" s="157"/>
      <c r="KC14" s="177" t="s">
        <v>156</v>
      </c>
      <c r="KD14" s="177" t="s">
        <v>157</v>
      </c>
      <c r="KE14" s="177" t="s">
        <v>158</v>
      </c>
      <c r="KF14" s="177" t="s">
        <v>159</v>
      </c>
      <c r="KG14" s="157"/>
      <c r="KH14" s="177" t="s">
        <v>350</v>
      </c>
      <c r="KI14" s="177" t="s">
        <v>330</v>
      </c>
      <c r="KJ14" s="177" t="s">
        <v>331</v>
      </c>
      <c r="KK14" s="177" t="s">
        <v>159</v>
      </c>
      <c r="KL14" s="157"/>
      <c r="KM14" s="177" t="s">
        <v>338</v>
      </c>
      <c r="KN14" s="177" t="s">
        <v>337</v>
      </c>
      <c r="KO14" s="177" t="s">
        <v>336</v>
      </c>
      <c r="KP14" s="177" t="s">
        <v>160</v>
      </c>
      <c r="KQ14" s="157"/>
      <c r="KR14" s="177" t="s">
        <v>341</v>
      </c>
      <c r="KS14" s="177" t="s">
        <v>342</v>
      </c>
      <c r="KT14" s="177" t="s">
        <v>473</v>
      </c>
      <c r="KU14" s="177" t="s">
        <v>160</v>
      </c>
      <c r="KV14" s="157"/>
      <c r="KW14" s="177" t="s">
        <v>343</v>
      </c>
      <c r="KX14" s="177" t="s">
        <v>471</v>
      </c>
      <c r="KY14" s="177" t="s">
        <v>469</v>
      </c>
      <c r="KZ14" s="177" t="s">
        <v>162</v>
      </c>
      <c r="LA14" s="157"/>
      <c r="LB14" s="177" t="s">
        <v>347</v>
      </c>
      <c r="LC14" s="177" t="s">
        <v>346</v>
      </c>
      <c r="LD14" s="177" t="s">
        <v>464</v>
      </c>
      <c r="LE14" s="177" t="s">
        <v>162</v>
      </c>
      <c r="LF14" s="157"/>
      <c r="LG14" s="177" t="s">
        <v>349</v>
      </c>
      <c r="LH14" s="177" t="s">
        <v>357</v>
      </c>
      <c r="LI14" s="177" t="s">
        <v>462</v>
      </c>
      <c r="LJ14" s="177" t="s">
        <v>163</v>
      </c>
      <c r="LK14" s="157"/>
      <c r="LL14" s="177" t="s">
        <v>169</v>
      </c>
      <c r="LM14" s="160" t="s">
        <v>170</v>
      </c>
      <c r="LN14" s="160" t="s">
        <v>171</v>
      </c>
      <c r="LO14" s="177" t="s">
        <v>172</v>
      </c>
      <c r="LP14" s="157"/>
      <c r="LQ14" s="177" t="s">
        <v>484</v>
      </c>
      <c r="LR14" s="160" t="s">
        <v>482</v>
      </c>
      <c r="LS14" s="160" t="s">
        <v>480</v>
      </c>
      <c r="LT14" s="177" t="s">
        <v>172</v>
      </c>
      <c r="LU14" s="178"/>
      <c r="LV14" s="177" t="s">
        <v>352</v>
      </c>
      <c r="LW14" s="177" t="s">
        <v>353</v>
      </c>
      <c r="LX14" s="160" t="s">
        <v>354</v>
      </c>
      <c r="LY14" s="177" t="s">
        <v>173</v>
      </c>
      <c r="LZ14" s="157"/>
      <c r="MA14" s="177" t="s">
        <v>478</v>
      </c>
      <c r="MB14" s="177" t="s">
        <v>476</v>
      </c>
      <c r="MC14" s="160" t="s">
        <v>474</v>
      </c>
      <c r="MD14" s="177" t="s">
        <v>173</v>
      </c>
      <c r="ME14" s="157"/>
      <c r="MF14" s="177" t="s">
        <v>356</v>
      </c>
      <c r="MG14" s="177" t="s">
        <v>472</v>
      </c>
      <c r="MH14" s="160" t="s">
        <v>470</v>
      </c>
      <c r="MI14" s="177" t="s">
        <v>175</v>
      </c>
      <c r="MJ14" s="157"/>
      <c r="MK14" s="177" t="s">
        <v>468</v>
      </c>
      <c r="ML14" s="177" t="s">
        <v>466</v>
      </c>
      <c r="MM14" s="177" t="s">
        <v>465</v>
      </c>
      <c r="MN14" s="177" t="s">
        <v>175</v>
      </c>
      <c r="MO14" s="157"/>
      <c r="MP14" s="177" t="s">
        <v>358</v>
      </c>
      <c r="MQ14" s="160" t="s">
        <v>359</v>
      </c>
      <c r="MR14" s="160" t="s">
        <v>360</v>
      </c>
      <c r="MS14" s="177" t="s">
        <v>177</v>
      </c>
      <c r="MT14" s="157"/>
      <c r="MU14" s="173" t="s">
        <v>88</v>
      </c>
      <c r="MV14" s="170">
        <v>261063</v>
      </c>
      <c r="MW14" s="170">
        <v>22158</v>
      </c>
      <c r="MX14" s="170">
        <v>15473</v>
      </c>
      <c r="MY14" s="170">
        <v>191933</v>
      </c>
      <c r="MZ14" s="157"/>
      <c r="NA14" s="170">
        <v>203834</v>
      </c>
      <c r="NB14" s="170">
        <v>22996</v>
      </c>
      <c r="NC14" s="170">
        <v>17890</v>
      </c>
      <c r="ND14" s="170">
        <v>160564</v>
      </c>
      <c r="NE14" s="157"/>
      <c r="NF14" s="170">
        <v>125080</v>
      </c>
      <c r="NG14" s="170">
        <v>11886</v>
      </c>
      <c r="NH14" s="170">
        <v>8501</v>
      </c>
      <c r="NI14" s="170">
        <v>182892</v>
      </c>
      <c r="NJ14" s="157"/>
      <c r="NK14" s="157"/>
      <c r="NL14" s="157"/>
      <c r="NM14" s="157"/>
      <c r="NN14" s="157"/>
      <c r="NO14" s="157"/>
      <c r="NP14" s="157"/>
      <c r="NQ14" s="157"/>
      <c r="NR14" s="157"/>
      <c r="NS14" s="157"/>
      <c r="NT14" s="157"/>
      <c r="NU14" s="157"/>
      <c r="NV14" s="157"/>
      <c r="NW14" s="157"/>
      <c r="NX14" s="157"/>
      <c r="NY14" s="157"/>
      <c r="NZ14" s="157"/>
      <c r="OA14" s="157"/>
      <c r="OB14" s="157"/>
      <c r="OC14" s="157"/>
      <c r="OD14" s="157"/>
      <c r="OE14" s="157"/>
      <c r="OF14" s="157"/>
      <c r="OG14" s="157"/>
      <c r="OH14" s="157"/>
      <c r="OI14" s="157"/>
      <c r="OJ14" s="157"/>
      <c r="OK14" s="157"/>
      <c r="OL14" s="157"/>
      <c r="OM14" s="157"/>
      <c r="ON14" s="157"/>
      <c r="OO14" s="157"/>
      <c r="OP14" s="157"/>
      <c r="OQ14" s="157"/>
      <c r="OR14" s="157"/>
      <c r="OS14" s="157"/>
      <c r="OT14" s="157"/>
      <c r="OU14" s="157"/>
      <c r="OV14" s="157"/>
      <c r="OW14" s="157"/>
      <c r="OX14" s="157"/>
      <c r="OY14" s="157"/>
      <c r="OZ14" s="157"/>
      <c r="PA14" s="157"/>
    </row>
    <row r="15" spans="1:417">
      <c r="A15" s="306" t="s">
        <v>77</v>
      </c>
      <c r="C15" s="685"/>
      <c r="D15" s="685"/>
      <c r="E15" s="685"/>
      <c r="F15" s="685"/>
      <c r="H15" s="685"/>
      <c r="I15" s="685"/>
      <c r="J15" s="685"/>
      <c r="K15" s="685"/>
      <c r="M15" s="685"/>
      <c r="N15" s="685"/>
      <c r="O15" s="685"/>
      <c r="P15" s="685"/>
      <c r="R15" s="685"/>
      <c r="S15" s="685"/>
      <c r="T15" s="685"/>
      <c r="U15" s="685"/>
      <c r="W15" s="685"/>
      <c r="X15" s="685"/>
      <c r="Y15" s="685"/>
      <c r="Z15" s="685"/>
      <c r="AB15" s="685"/>
      <c r="AC15" s="685"/>
      <c r="AD15" s="685"/>
      <c r="AE15" s="685"/>
      <c r="AG15" s="685"/>
      <c r="AH15" s="685"/>
      <c r="AI15" s="685"/>
      <c r="AJ15" s="685"/>
      <c r="AL15" s="685"/>
      <c r="AM15" s="685"/>
      <c r="AN15" s="685"/>
      <c r="AO15" s="685"/>
      <c r="AQ15" s="685"/>
      <c r="AR15" s="685"/>
      <c r="AS15" s="685"/>
      <c r="AT15" s="685"/>
      <c r="AV15" s="685"/>
      <c r="AW15" s="685"/>
      <c r="AX15" s="685"/>
      <c r="AY15" s="685"/>
      <c r="BA15" s="685"/>
      <c r="BB15" s="685"/>
      <c r="BC15" s="685"/>
      <c r="BD15" s="685"/>
      <c r="BF15" s="685"/>
      <c r="BG15" s="685"/>
      <c r="BH15" s="685"/>
      <c r="BI15" s="685"/>
      <c r="BK15" s="685"/>
      <c r="BL15" s="685"/>
      <c r="BM15" s="685"/>
      <c r="BN15" s="685"/>
      <c r="BP15" s="685"/>
      <c r="BQ15" s="685"/>
      <c r="BR15" s="685"/>
      <c r="BS15" s="685"/>
      <c r="BU15" s="685"/>
      <c r="BV15" s="685"/>
      <c r="BW15" s="685"/>
      <c r="BX15" s="685"/>
      <c r="BZ15" s="685"/>
      <c r="CA15" s="685"/>
      <c r="CB15" s="685"/>
      <c r="CC15" s="685"/>
      <c r="CE15" s="685"/>
      <c r="CF15" s="685"/>
      <c r="CG15" s="685"/>
      <c r="CH15" s="685"/>
      <c r="CJ15" s="336">
        <v>410000</v>
      </c>
      <c r="CK15" s="336">
        <v>-128000</v>
      </c>
      <c r="CL15" s="336">
        <v>-139000</v>
      </c>
      <c r="CM15" s="336">
        <f t="shared" ref="CM15:CM21" si="25">CR15</f>
        <v>899000</v>
      </c>
      <c r="CO15" s="336">
        <v>990000</v>
      </c>
      <c r="CP15" s="336">
        <v>-174000</v>
      </c>
      <c r="CQ15" s="336">
        <v>-460000</v>
      </c>
      <c r="CR15" s="336">
        <v>899000</v>
      </c>
      <c r="CT15" s="336">
        <f t="shared" ref="CT15:CV21" si="26">CY15-DD15</f>
        <v>277000</v>
      </c>
      <c r="CU15" s="336">
        <f t="shared" si="26"/>
        <v>-32000</v>
      </c>
      <c r="CV15" s="336">
        <f t="shared" si="26"/>
        <v>-271000</v>
      </c>
      <c r="CW15" s="336">
        <v>899000</v>
      </c>
      <c r="CY15" s="336">
        <v>580000</v>
      </c>
      <c r="CZ15" s="336">
        <v>-46000</v>
      </c>
      <c r="DA15" s="336">
        <v>-321000</v>
      </c>
      <c r="DB15" s="336">
        <v>899000</v>
      </c>
      <c r="DD15" s="336">
        <v>303000</v>
      </c>
      <c r="DE15" s="336">
        <v>-14000</v>
      </c>
      <c r="DF15" s="336">
        <v>-50000</v>
      </c>
      <c r="DG15" s="336">
        <v>899000</v>
      </c>
      <c r="DI15" s="336">
        <f t="shared" ref="DI15:DK21" si="27">DN15-DX15</f>
        <v>263276</v>
      </c>
      <c r="DJ15" s="336">
        <f t="shared" si="27"/>
        <v>-124594</v>
      </c>
      <c r="DK15" s="336">
        <f t="shared" si="27"/>
        <v>-539254</v>
      </c>
      <c r="DL15" s="336">
        <f t="shared" ref="DL15:DL21" si="28">DQ15</f>
        <v>1116000</v>
      </c>
      <c r="DN15" s="336">
        <v>1052000</v>
      </c>
      <c r="DO15" s="336">
        <v>-157000</v>
      </c>
      <c r="DP15" s="336">
        <v>-887000</v>
      </c>
      <c r="DQ15" s="336">
        <v>1116000</v>
      </c>
      <c r="DS15" s="336">
        <f t="shared" ref="DS15:DU21" si="29">DX15-EH15</f>
        <v>285753</v>
      </c>
      <c r="DT15" s="336">
        <f t="shared" si="29"/>
        <v>-39185</v>
      </c>
      <c r="DU15" s="336">
        <f t="shared" si="29"/>
        <v>-76441</v>
      </c>
      <c r="DV15" s="336">
        <f t="shared" ref="DV15:DV21" si="30">EA15</f>
        <v>1115883</v>
      </c>
      <c r="DX15" s="336">
        <v>788724</v>
      </c>
      <c r="DY15" s="336">
        <v>-32406</v>
      </c>
      <c r="DZ15" s="336">
        <v>-347746</v>
      </c>
      <c r="EA15" s="336">
        <v>1115883</v>
      </c>
      <c r="EC15" s="336">
        <f t="shared" ref="EC15:EE21" si="31">EH15-EM15</f>
        <v>266547</v>
      </c>
      <c r="ED15" s="336">
        <f t="shared" si="31"/>
        <v>43134</v>
      </c>
      <c r="EE15" s="336">
        <f t="shared" si="31"/>
        <v>-187414</v>
      </c>
      <c r="EF15" s="336">
        <f t="shared" ref="EF15:EF21" si="32">EK15</f>
        <v>1115883</v>
      </c>
      <c r="EH15" s="336">
        <v>502971</v>
      </c>
      <c r="EI15" s="336">
        <v>6779</v>
      </c>
      <c r="EJ15" s="336">
        <v>-271305</v>
      </c>
      <c r="EK15" s="336">
        <v>1115883</v>
      </c>
      <c r="EM15" s="336">
        <v>236424</v>
      </c>
      <c r="EN15" s="336">
        <v>-36355</v>
      </c>
      <c r="EO15" s="336">
        <v>-83891</v>
      </c>
      <c r="EP15" s="336">
        <v>1115883</v>
      </c>
      <c r="ER15" s="336">
        <f t="shared" ref="ER15:ET22" si="33">EW15-FG15</f>
        <v>211025</v>
      </c>
      <c r="ES15" s="336">
        <f t="shared" si="33"/>
        <v>-238231</v>
      </c>
      <c r="ET15" s="336">
        <f t="shared" si="33"/>
        <v>-715619</v>
      </c>
      <c r="EU15" s="336">
        <f t="shared" ref="EU15:EU22" si="34">EZ15</f>
        <v>1294329</v>
      </c>
      <c r="EW15" s="336">
        <v>944433</v>
      </c>
      <c r="EX15" s="336">
        <v>-499865</v>
      </c>
      <c r="EY15" s="336">
        <v>-1391949</v>
      </c>
      <c r="EZ15" s="336">
        <v>1294329</v>
      </c>
      <c r="FB15" s="336">
        <v>201718</v>
      </c>
      <c r="FC15" s="336">
        <v>-118709</v>
      </c>
      <c r="FD15" s="336">
        <v>-164999</v>
      </c>
      <c r="FE15" s="336">
        <f t="shared" ref="FE15:FE22" si="35">FJ15</f>
        <v>1294329</v>
      </c>
      <c r="FG15" s="336">
        <v>733408</v>
      </c>
      <c r="FH15" s="336">
        <v>-261634</v>
      </c>
      <c r="FI15" s="336">
        <v>-676330</v>
      </c>
      <c r="FJ15" s="336">
        <v>1294329</v>
      </c>
      <c r="FL15" s="61">
        <f t="shared" ref="FL15:FN22" si="36">FQ15-FV15</f>
        <v>239824</v>
      </c>
      <c r="FM15" s="147">
        <f t="shared" si="36"/>
        <v>-98644</v>
      </c>
      <c r="FN15" s="61">
        <f t="shared" si="36"/>
        <v>-415414</v>
      </c>
      <c r="FO15" s="61">
        <v>1294329</v>
      </c>
      <c r="FQ15" s="61">
        <v>531690</v>
      </c>
      <c r="FR15" s="147">
        <v>-142925</v>
      </c>
      <c r="FS15" s="61">
        <v>-511331</v>
      </c>
      <c r="FT15" s="61">
        <v>1294329</v>
      </c>
      <c r="FV15" s="61">
        <v>291866</v>
      </c>
      <c r="FW15" s="147">
        <v>-44281</v>
      </c>
      <c r="FX15" s="61">
        <v>-95917</v>
      </c>
      <c r="FY15" s="61">
        <v>1294329</v>
      </c>
      <c r="GA15" s="144">
        <v>1266024</v>
      </c>
      <c r="GB15" s="346">
        <v>-90262</v>
      </c>
      <c r="GC15" s="144">
        <v>-1053469</v>
      </c>
      <c r="GD15" s="144">
        <v>1589823</v>
      </c>
      <c r="GF15" s="144">
        <v>314649</v>
      </c>
      <c r="GG15" s="346">
        <v>-81322</v>
      </c>
      <c r="GH15" s="144">
        <v>-136788</v>
      </c>
      <c r="GI15" s="144">
        <v>1589823</v>
      </c>
      <c r="GK15" s="144">
        <v>951375</v>
      </c>
      <c r="GL15" s="346">
        <v>-8940</v>
      </c>
      <c r="GM15" s="144">
        <v>-916681</v>
      </c>
      <c r="GN15" s="144">
        <v>1589823</v>
      </c>
      <c r="GP15" s="144">
        <v>272589</v>
      </c>
      <c r="GQ15" s="346">
        <v>-11217</v>
      </c>
      <c r="GR15" s="144">
        <v>-50515</v>
      </c>
      <c r="GS15" s="144">
        <v>1589823</v>
      </c>
      <c r="GV15" s="144">
        <v>678786</v>
      </c>
      <c r="GW15" s="346">
        <v>2277</v>
      </c>
      <c r="GX15" s="144">
        <v>-866166</v>
      </c>
      <c r="GY15" s="144">
        <v>1589823</v>
      </c>
      <c r="HA15" s="144">
        <v>293543</v>
      </c>
      <c r="HB15" s="346">
        <v>-41474</v>
      </c>
      <c r="HC15" s="144">
        <v>-842790</v>
      </c>
      <c r="HD15" s="144">
        <v>1589823</v>
      </c>
      <c r="HF15" s="144">
        <v>385243</v>
      </c>
      <c r="HG15" s="346">
        <v>43751</v>
      </c>
      <c r="HH15" s="144">
        <v>-23376</v>
      </c>
      <c r="HI15" s="144">
        <v>1589823</v>
      </c>
      <c r="HK15" s="144">
        <v>1541425</v>
      </c>
      <c r="HL15" s="346">
        <v>-83036</v>
      </c>
      <c r="HM15" s="144">
        <v>-211070</v>
      </c>
      <c r="HN15" s="144">
        <v>2085538</v>
      </c>
      <c r="HP15" s="341">
        <v>422958</v>
      </c>
      <c r="HQ15" s="342">
        <v>-41352</v>
      </c>
      <c r="HR15" s="341">
        <v>-75834</v>
      </c>
      <c r="HS15" s="341">
        <v>2085538</v>
      </c>
      <c r="HU15" s="144">
        <v>1118467</v>
      </c>
      <c r="HV15" s="346">
        <v>-41684</v>
      </c>
      <c r="HW15" s="144">
        <v>-135236</v>
      </c>
      <c r="HX15" s="144">
        <v>2085538</v>
      </c>
      <c r="HZ15" s="144">
        <v>336783</v>
      </c>
      <c r="IA15" s="346">
        <v>-36968</v>
      </c>
      <c r="IB15" s="144">
        <v>-69420</v>
      </c>
      <c r="IC15" s="144">
        <v>2085538</v>
      </c>
      <c r="IE15" s="156">
        <v>781684</v>
      </c>
      <c r="IF15" s="183">
        <v>-4716</v>
      </c>
      <c r="IG15" s="156">
        <v>-65816</v>
      </c>
      <c r="IH15" s="156">
        <v>2085538</v>
      </c>
      <c r="IJ15" s="156">
        <v>397591</v>
      </c>
      <c r="IK15" s="183">
        <v>24737</v>
      </c>
      <c r="IL15" s="156">
        <v>-6171</v>
      </c>
      <c r="IM15" s="156">
        <v>2085538</v>
      </c>
      <c r="IO15" s="156">
        <v>384093</v>
      </c>
      <c r="IP15" s="183">
        <v>-29453</v>
      </c>
      <c r="IQ15" s="156">
        <v>-59645</v>
      </c>
      <c r="IR15" s="156">
        <v>2085538</v>
      </c>
      <c r="IT15" s="156">
        <v>1311143</v>
      </c>
      <c r="IU15" s="156">
        <v>-82130</v>
      </c>
      <c r="IV15" s="156">
        <v>-205163</v>
      </c>
      <c r="IW15" s="156">
        <v>2069263</v>
      </c>
      <c r="IY15" s="156">
        <v>423619</v>
      </c>
      <c r="IZ15" s="183">
        <v>54528</v>
      </c>
      <c r="JA15" s="156">
        <v>23540</v>
      </c>
      <c r="JB15" s="156">
        <v>2069263</v>
      </c>
      <c r="JC15" s="157"/>
      <c r="JD15" s="156">
        <v>887524</v>
      </c>
      <c r="JE15" s="156">
        <v>-136658</v>
      </c>
      <c r="JF15" s="156">
        <v>-228703</v>
      </c>
      <c r="JG15" s="156">
        <v>2069263</v>
      </c>
      <c r="JH15" s="156"/>
      <c r="JI15" s="156">
        <v>375392</v>
      </c>
      <c r="JJ15" s="156">
        <v>32590</v>
      </c>
      <c r="JK15" s="156">
        <v>1833</v>
      </c>
      <c r="JL15" s="156">
        <v>2069263</v>
      </c>
      <c r="JM15" s="157"/>
      <c r="JN15" s="156">
        <v>512132</v>
      </c>
      <c r="JO15" s="156">
        <v>-169248</v>
      </c>
      <c r="JP15" s="156">
        <v>-230536</v>
      </c>
      <c r="JQ15" s="156">
        <v>2069263</v>
      </c>
      <c r="JR15" s="157"/>
      <c r="JS15" s="156">
        <f t="shared" ref="JS15:JU21" si="37">JN15-JX15</f>
        <v>257978</v>
      </c>
      <c r="JT15" s="156">
        <f t="shared" si="37"/>
        <v>-104490</v>
      </c>
      <c r="JU15" s="156">
        <f t="shared" si="37"/>
        <v>-127029</v>
      </c>
      <c r="JV15" s="156">
        <f>KA15</f>
        <v>2069263</v>
      </c>
      <c r="JW15" s="157"/>
      <c r="JX15" s="156">
        <v>254154</v>
      </c>
      <c r="JY15" s="156">
        <v>-64758</v>
      </c>
      <c r="JZ15" s="156">
        <v>-103507</v>
      </c>
      <c r="KA15" s="156">
        <v>2069263</v>
      </c>
      <c r="KB15" s="157"/>
      <c r="KC15" s="156">
        <v>1205944</v>
      </c>
      <c r="KD15" s="156">
        <v>9137</v>
      </c>
      <c r="KE15" s="156">
        <v>-104328</v>
      </c>
      <c r="KF15" s="156">
        <v>1657407</v>
      </c>
      <c r="KG15" s="157"/>
      <c r="KH15" s="156">
        <v>331130</v>
      </c>
      <c r="KI15" s="156">
        <v>32369</v>
      </c>
      <c r="KJ15" s="156">
        <v>3251</v>
      </c>
      <c r="KK15" s="156">
        <v>1657407</v>
      </c>
      <c r="KL15" s="157"/>
      <c r="KM15" s="156">
        <v>874814</v>
      </c>
      <c r="KN15" s="156">
        <v>-23232</v>
      </c>
      <c r="KO15" s="156">
        <v>-107579</v>
      </c>
      <c r="KP15" s="156">
        <v>1657407</v>
      </c>
      <c r="KQ15" s="157"/>
      <c r="KR15" s="156">
        <v>332863</v>
      </c>
      <c r="KS15" s="156">
        <v>134670</v>
      </c>
      <c r="KT15" s="156">
        <v>106686</v>
      </c>
      <c r="KU15" s="156">
        <v>1657407</v>
      </c>
      <c r="KV15" s="157"/>
      <c r="KW15" s="156">
        <v>541951</v>
      </c>
      <c r="KX15" s="156">
        <v>-157902</v>
      </c>
      <c r="KY15" s="156">
        <v>-214265</v>
      </c>
      <c r="KZ15" s="156">
        <v>1657407</v>
      </c>
      <c r="LA15" s="157"/>
      <c r="LB15" s="156">
        <v>273192</v>
      </c>
      <c r="LC15" s="156">
        <v>-113811</v>
      </c>
      <c r="LD15" s="156">
        <v>-142220</v>
      </c>
      <c r="LE15" s="156">
        <v>1657407</v>
      </c>
      <c r="LF15" s="157"/>
      <c r="LG15" s="156">
        <v>268759</v>
      </c>
      <c r="LH15" s="156">
        <v>-44091</v>
      </c>
      <c r="LI15" s="156">
        <v>-72045</v>
      </c>
      <c r="LJ15" s="156">
        <v>1657407</v>
      </c>
      <c r="LK15" s="157"/>
      <c r="LL15" s="156">
        <v>1194024</v>
      </c>
      <c r="LM15" s="156">
        <v>98420</v>
      </c>
      <c r="LN15" s="156">
        <v>-6829</v>
      </c>
      <c r="LO15" s="156">
        <v>1742510</v>
      </c>
      <c r="LP15" s="163"/>
      <c r="LQ15" s="156">
        <v>323181</v>
      </c>
      <c r="LR15" s="156">
        <v>14867</v>
      </c>
      <c r="LS15" s="156">
        <v>-12176</v>
      </c>
      <c r="LT15" s="156">
        <v>1742510</v>
      </c>
      <c r="LU15" s="163"/>
      <c r="LV15" s="156">
        <v>870843</v>
      </c>
      <c r="LW15" s="156">
        <v>83553</v>
      </c>
      <c r="LX15" s="156">
        <v>5347</v>
      </c>
      <c r="LY15" s="156">
        <v>1742510</v>
      </c>
      <c r="LZ15" s="157"/>
      <c r="MA15" s="156">
        <v>341431</v>
      </c>
      <c r="MB15" s="156">
        <v>55252</v>
      </c>
      <c r="MC15" s="156">
        <v>29132</v>
      </c>
      <c r="MD15" s="156">
        <v>1742510</v>
      </c>
      <c r="ME15" s="157"/>
      <c r="MF15" s="156">
        <v>529412</v>
      </c>
      <c r="MG15" s="156">
        <v>28174</v>
      </c>
      <c r="MH15" s="156">
        <v>-23785</v>
      </c>
      <c r="MI15" s="156">
        <v>1742510</v>
      </c>
      <c r="MJ15" s="157"/>
      <c r="MK15" s="156">
        <v>281247</v>
      </c>
      <c r="ML15" s="156">
        <v>8471</v>
      </c>
      <c r="MM15" s="156">
        <v>-16826</v>
      </c>
      <c r="MN15" s="156">
        <v>1742510</v>
      </c>
      <c r="MO15" s="157"/>
      <c r="MP15" s="156">
        <v>248165</v>
      </c>
      <c r="MQ15" s="156">
        <v>19703</v>
      </c>
      <c r="MR15" s="156">
        <v>-6959</v>
      </c>
      <c r="MS15" s="156">
        <v>1742510</v>
      </c>
      <c r="MT15" s="157"/>
      <c r="MU15" s="157"/>
      <c r="MV15" s="157"/>
      <c r="MW15" s="157"/>
      <c r="MX15" s="157"/>
      <c r="MY15" s="157"/>
      <c r="MZ15" s="157"/>
      <c r="NA15" s="157"/>
      <c r="NB15" s="157"/>
      <c r="NC15" s="157"/>
      <c r="ND15" s="157"/>
      <c r="NE15" s="157"/>
      <c r="NF15" s="157"/>
      <c r="NG15" s="157"/>
      <c r="NH15" s="157"/>
      <c r="NI15" s="157"/>
      <c r="NJ15" s="157"/>
      <c r="NK15" s="157"/>
      <c r="NL15" s="157"/>
      <c r="NM15" s="157"/>
      <c r="NN15" s="157"/>
      <c r="NO15" s="157"/>
      <c r="NP15" s="157"/>
      <c r="NQ15" s="157"/>
      <c r="NR15" s="157"/>
      <c r="NS15" s="157"/>
      <c r="NT15" s="157"/>
      <c r="NU15" s="157"/>
      <c r="NV15" s="157"/>
      <c r="NW15" s="157"/>
      <c r="NX15" s="157"/>
      <c r="NY15" s="157"/>
      <c r="NZ15" s="157"/>
      <c r="OA15" s="157"/>
      <c r="OB15" s="157"/>
      <c r="OC15" s="157"/>
      <c r="OD15" s="157"/>
      <c r="OE15" s="157"/>
      <c r="OF15" s="157"/>
      <c r="OG15" s="157"/>
      <c r="OH15" s="157"/>
      <c r="OI15" s="157"/>
      <c r="OJ15" s="157"/>
      <c r="OK15" s="157"/>
      <c r="OL15" s="157"/>
      <c r="OM15" s="157"/>
      <c r="ON15" s="157"/>
      <c r="OO15" s="157"/>
      <c r="OP15" s="157"/>
      <c r="OQ15" s="157"/>
      <c r="OR15" s="157"/>
      <c r="OS15" s="157"/>
      <c r="OT15" s="157"/>
      <c r="OU15" s="157"/>
      <c r="OV15" s="157"/>
      <c r="OW15" s="157"/>
      <c r="OX15" s="157"/>
      <c r="OY15" s="157"/>
      <c r="OZ15" s="157"/>
      <c r="PA15" s="157"/>
    </row>
    <row r="16" spans="1:417">
      <c r="A16" s="466" t="s">
        <v>582</v>
      </c>
      <c r="C16" s="686">
        <f>([3]segmenty!$B$47)*1000</f>
        <v>2168000</v>
      </c>
      <c r="D16" s="686">
        <f>([3]segmenty!$B$72)*1000</f>
        <v>165000</v>
      </c>
      <c r="E16" s="686">
        <f>([3]segmenty!$B$69)*1000</f>
        <v>102000</v>
      </c>
      <c r="F16" s="686">
        <f>([3]segmenty!$B$63)*1000</f>
        <v>4305000</v>
      </c>
      <c r="H16" s="686">
        <f>([4]segmenty!$B$47)*1000</f>
        <v>11223000</v>
      </c>
      <c r="I16" s="686">
        <f>([4]segmenty!$B$72)*1000</f>
        <v>1270000</v>
      </c>
      <c r="J16" s="686">
        <f>([4]segmenty!$B$69)*1000</f>
        <v>662000</v>
      </c>
      <c r="K16" s="686">
        <f>([4]segmenty!$B$63)*1000</f>
        <v>7018000</v>
      </c>
      <c r="M16" s="686">
        <f>H16-R16</f>
        <v>3034000</v>
      </c>
      <c r="N16" s="686">
        <f t="shared" ref="N16:O23" si="38">I16-S16</f>
        <v>394000</v>
      </c>
      <c r="O16" s="686">
        <f t="shared" si="38"/>
        <v>57000</v>
      </c>
      <c r="P16" s="686">
        <f t="shared" ref="P16:P23" si="39">K16</f>
        <v>7018000</v>
      </c>
      <c r="R16" s="686">
        <f>([5]segmenty!$B$47)*1000</f>
        <v>8189000</v>
      </c>
      <c r="S16" s="686">
        <f>([5]segmenty!$B$72)*1000</f>
        <v>876000</v>
      </c>
      <c r="T16" s="686">
        <f>([5]segmenty!$B$69)*1000</f>
        <v>605000</v>
      </c>
      <c r="U16" s="686">
        <f>([5]segmenty!$B$63)*1000</f>
        <v>7018000</v>
      </c>
      <c r="W16" s="686">
        <f>('[5]segmenty 3 m-ce'!$B$100)*1000</f>
        <v>2455000</v>
      </c>
      <c r="X16" s="686">
        <f>('[5]segmenty 3 m-ce'!$B$115)*1000</f>
        <v>118000</v>
      </c>
      <c r="Y16" s="686">
        <f>('[5]segmenty 3 m-ce'!$B$112)*1000</f>
        <v>25000</v>
      </c>
      <c r="Z16" s="686">
        <f t="shared" ref="Z16:Z21" si="40">U16</f>
        <v>7018000</v>
      </c>
      <c r="AB16" s="686">
        <v>5734000</v>
      </c>
      <c r="AC16" s="686">
        <v>758000</v>
      </c>
      <c r="AD16" s="686">
        <v>580000</v>
      </c>
      <c r="AE16" s="686">
        <v>7018000</v>
      </c>
      <c r="AG16" s="686">
        <v>2444000</v>
      </c>
      <c r="AH16" s="686">
        <v>427000</v>
      </c>
      <c r="AI16" s="686">
        <v>334000</v>
      </c>
      <c r="AJ16" s="686">
        <f t="shared" ref="AJ16:AJ21" si="41">AE16</f>
        <v>7018000</v>
      </c>
      <c r="AL16" s="686">
        <v>3290000</v>
      </c>
      <c r="AM16" s="686">
        <f>[6]segmenty!$B$72*1000-127000</f>
        <v>331000</v>
      </c>
      <c r="AN16" s="686">
        <f>[6]segmenty!$B$69*1000-100000</f>
        <v>246000</v>
      </c>
      <c r="AO16" s="686">
        <f>[6]segmenty!$B$63*1000</f>
        <v>10023000</v>
      </c>
      <c r="AQ16" s="686">
        <f>([7]segmenty!$B$48)*1000</f>
        <v>11126000</v>
      </c>
      <c r="AR16" s="686">
        <f>([7]segmenty!$B$73)*1000</f>
        <v>-779000</v>
      </c>
      <c r="AS16" s="686">
        <f>([7]segmenty!$B$70)*1000</f>
        <v>-1307000</v>
      </c>
      <c r="AT16" s="686">
        <f>([7]segmenty!$B$64)*1000</f>
        <v>10157000</v>
      </c>
      <c r="AV16" s="686">
        <f t="shared" ref="AV16:AX22" si="42">AQ16-BA16</f>
        <v>3454000</v>
      </c>
      <c r="AW16" s="686">
        <f t="shared" si="42"/>
        <v>-111000</v>
      </c>
      <c r="AX16" s="686">
        <f t="shared" si="42"/>
        <v>-304000</v>
      </c>
      <c r="AY16" s="686">
        <f t="shared" ref="AY16:AY21" si="43">AT16</f>
        <v>10157000</v>
      </c>
      <c r="BA16" s="686">
        <f>([8]segmenty!$B$48)*1000</f>
        <v>7672000</v>
      </c>
      <c r="BB16" s="686">
        <f>([8]segmenty!$B$73)*1000</f>
        <v>-668000</v>
      </c>
      <c r="BC16" s="686">
        <f>([8]segmenty!$B$70)*1000</f>
        <v>-1003000</v>
      </c>
      <c r="BD16" s="686">
        <f>([8]segmenty!$B$64)*1000</f>
        <v>10157000</v>
      </c>
      <c r="BF16" s="686">
        <f>('[8]segmenty 3 m-ce PREZ'!$B$39)*1000</f>
        <v>2253000</v>
      </c>
      <c r="BG16" s="686">
        <f>('[8]segmenty 3 m-ce PREZ'!$B$46)*1000</f>
        <v>-638000</v>
      </c>
      <c r="BH16" s="686">
        <f>('[8]segmenty 3 m-ce PREZ'!$B$42)*1000</f>
        <v>-751000</v>
      </c>
      <c r="BI16" s="686">
        <f t="shared" ref="BI16:BI21" si="44">BD16</f>
        <v>10157000</v>
      </c>
      <c r="BK16" s="686">
        <f>([9]segmenty!$B$48)*1000</f>
        <v>5419000</v>
      </c>
      <c r="BL16" s="686">
        <f>([9]segmenty!$B$72)*1000</f>
        <v>-30000</v>
      </c>
      <c r="BM16" s="686">
        <f>([9]segmenty!$B$69)*1000</f>
        <v>-252000</v>
      </c>
      <c r="BN16" s="686">
        <f>([9]segmenty!$B$63)*1000</f>
        <v>10157000</v>
      </c>
      <c r="BP16" s="686">
        <f>('[9]segmenty 3 m-ce'!$B$101)*1000</f>
        <v>2363000</v>
      </c>
      <c r="BQ16" s="686">
        <f>('[9]segmenty 3 m-ce'!$B$115)*1000</f>
        <v>-925000</v>
      </c>
      <c r="BR16" s="686">
        <f>('[9]segmenty 3 m-ce'!$B$112)*1000</f>
        <v>-1038000</v>
      </c>
      <c r="BS16" s="686">
        <f t="shared" ref="BS16:BS21" si="45">BX16</f>
        <v>10157000</v>
      </c>
      <c r="BU16" s="686">
        <f>[10]segmenty!$B$48*1000</f>
        <v>3056000</v>
      </c>
      <c r="BV16" s="686">
        <f>[10]segmenty!$B$71*1000</f>
        <v>895000</v>
      </c>
      <c r="BW16" s="686">
        <f>[10]segmenty!$B$69*1000</f>
        <v>786000</v>
      </c>
      <c r="BX16" s="686">
        <f>[10]segmenty!$B$63*1000</f>
        <v>10157000</v>
      </c>
      <c r="BZ16" s="686">
        <f t="shared" ref="BZ16:CB21" si="46">CE16-CO16</f>
        <v>3401000</v>
      </c>
      <c r="CA16" s="686">
        <f t="shared" si="46"/>
        <v>56000</v>
      </c>
      <c r="CB16" s="686">
        <f t="shared" si="46"/>
        <v>-70000</v>
      </c>
      <c r="CC16" s="686">
        <f t="shared" ref="CC16:CC22" si="47">CH16</f>
        <v>8849000</v>
      </c>
      <c r="CE16" s="686">
        <v>9819000</v>
      </c>
      <c r="CF16" s="686">
        <v>1375000</v>
      </c>
      <c r="CG16" s="686">
        <v>-25000</v>
      </c>
      <c r="CH16" s="686">
        <v>8849000</v>
      </c>
      <c r="CJ16" s="467">
        <v>2359000</v>
      </c>
      <c r="CK16" s="467">
        <v>311000</v>
      </c>
      <c r="CL16" s="467">
        <v>204000</v>
      </c>
      <c r="CM16" s="467">
        <f t="shared" si="25"/>
        <v>8849000</v>
      </c>
      <c r="CO16" s="467">
        <v>6418000</v>
      </c>
      <c r="CP16" s="467">
        <v>1319000</v>
      </c>
      <c r="CQ16" s="467">
        <v>45000</v>
      </c>
      <c r="CR16" s="467">
        <v>8849000</v>
      </c>
      <c r="CT16" s="467">
        <f t="shared" si="26"/>
        <v>1751000</v>
      </c>
      <c r="CU16" s="467">
        <f t="shared" si="26"/>
        <v>322000</v>
      </c>
      <c r="CV16" s="467">
        <f t="shared" si="26"/>
        <v>-729000</v>
      </c>
      <c r="CW16" s="467">
        <v>8849000</v>
      </c>
      <c r="CY16" s="467">
        <v>4059000</v>
      </c>
      <c r="CZ16" s="467">
        <v>1008000</v>
      </c>
      <c r="DA16" s="467">
        <v>-159000</v>
      </c>
      <c r="DB16" s="467">
        <v>8849000</v>
      </c>
      <c r="DD16" s="467">
        <v>2308000</v>
      </c>
      <c r="DE16" s="467">
        <v>686000</v>
      </c>
      <c r="DF16" s="467">
        <v>570000</v>
      </c>
      <c r="DG16" s="467">
        <v>8849000</v>
      </c>
      <c r="DI16" s="467">
        <f t="shared" si="27"/>
        <v>1505971</v>
      </c>
      <c r="DJ16" s="467">
        <f t="shared" si="27"/>
        <v>206057</v>
      </c>
      <c r="DK16" s="467">
        <f t="shared" si="27"/>
        <v>-2463464</v>
      </c>
      <c r="DL16" s="467">
        <f t="shared" si="28"/>
        <v>10053831.77825</v>
      </c>
      <c r="DN16" s="467">
        <v>4522000</v>
      </c>
      <c r="DO16" s="467">
        <v>344000</v>
      </c>
      <c r="DP16" s="467">
        <v>-3238000</v>
      </c>
      <c r="DQ16" s="467">
        <v>10053831.77825</v>
      </c>
      <c r="DS16" s="467">
        <f t="shared" si="29"/>
        <v>936871</v>
      </c>
      <c r="DT16" s="467">
        <f t="shared" si="29"/>
        <v>19921</v>
      </c>
      <c r="DU16" s="467">
        <f t="shared" si="29"/>
        <v>-77241</v>
      </c>
      <c r="DV16" s="467">
        <f t="shared" si="30"/>
        <v>10054581.77825</v>
      </c>
      <c r="DX16" s="467">
        <v>3016029</v>
      </c>
      <c r="DY16" s="467">
        <v>137943</v>
      </c>
      <c r="DZ16" s="467">
        <v>-774536</v>
      </c>
      <c r="EA16" s="467">
        <v>10054581.77825</v>
      </c>
      <c r="EC16" s="467">
        <f t="shared" si="31"/>
        <v>924200</v>
      </c>
      <c r="ED16" s="467">
        <f t="shared" si="31"/>
        <v>48538</v>
      </c>
      <c r="EE16" s="467">
        <f t="shared" si="31"/>
        <v>-684572</v>
      </c>
      <c r="EF16" s="467">
        <f t="shared" si="32"/>
        <v>10054581.77825</v>
      </c>
      <c r="EH16" s="467">
        <v>2079158</v>
      </c>
      <c r="EI16" s="467">
        <v>118022</v>
      </c>
      <c r="EJ16" s="467">
        <v>-697295</v>
      </c>
      <c r="EK16" s="467">
        <v>10054581.77825</v>
      </c>
      <c r="EM16" s="467">
        <v>1154958</v>
      </c>
      <c r="EN16" s="467">
        <v>69484</v>
      </c>
      <c r="EO16" s="467">
        <v>-12723</v>
      </c>
      <c r="EP16" s="467">
        <v>10054581.77825</v>
      </c>
      <c r="ER16" s="467">
        <f t="shared" si="33"/>
        <v>846540</v>
      </c>
      <c r="ES16" s="467">
        <f t="shared" si="33"/>
        <v>64625</v>
      </c>
      <c r="ET16" s="467">
        <f t="shared" si="33"/>
        <v>-723565</v>
      </c>
      <c r="EU16" s="467">
        <f t="shared" si="34"/>
        <v>10010983</v>
      </c>
      <c r="EW16" s="467">
        <v>3428637</v>
      </c>
      <c r="EX16" s="467">
        <v>438114</v>
      </c>
      <c r="EY16" s="467">
        <v>-509635</v>
      </c>
      <c r="EZ16" s="467">
        <v>10010983</v>
      </c>
      <c r="FB16" s="467">
        <v>860411</v>
      </c>
      <c r="FC16" s="467">
        <v>94665</v>
      </c>
      <c r="FD16" s="467">
        <v>42274</v>
      </c>
      <c r="FE16" s="467">
        <f t="shared" si="35"/>
        <v>10010983</v>
      </c>
      <c r="FG16" s="467">
        <v>2582097</v>
      </c>
      <c r="FH16" s="467">
        <v>373489</v>
      </c>
      <c r="FI16" s="467">
        <v>213930</v>
      </c>
      <c r="FJ16" s="467">
        <v>10010983</v>
      </c>
      <c r="FL16" s="464">
        <f t="shared" si="36"/>
        <v>818613</v>
      </c>
      <c r="FM16" s="465">
        <f t="shared" si="36"/>
        <v>69009</v>
      </c>
      <c r="FN16" s="464">
        <f t="shared" si="36"/>
        <v>15013</v>
      </c>
      <c r="FO16" s="464">
        <v>10809128</v>
      </c>
      <c r="FQ16" s="464">
        <v>1721686</v>
      </c>
      <c r="FR16" s="465">
        <v>280877</v>
      </c>
      <c r="FS16" s="464">
        <v>173709</v>
      </c>
      <c r="FT16" s="464">
        <v>10809128</v>
      </c>
      <c r="FV16" s="464">
        <v>903073</v>
      </c>
      <c r="FW16" s="465">
        <v>211868</v>
      </c>
      <c r="FX16" s="464">
        <v>158696</v>
      </c>
      <c r="FY16" s="464">
        <v>13461532</v>
      </c>
      <c r="FZ16" s="5"/>
      <c r="GA16" s="144">
        <v>4638494</v>
      </c>
      <c r="GB16" s="346">
        <v>731372</v>
      </c>
      <c r="GC16" s="144">
        <v>196658</v>
      </c>
      <c r="GD16" s="144">
        <v>12712861</v>
      </c>
      <c r="GF16" s="144">
        <v>1369745</v>
      </c>
      <c r="GG16" s="346">
        <v>82432</v>
      </c>
      <c r="GH16" s="144">
        <v>-494471</v>
      </c>
      <c r="GI16" s="144">
        <v>12712861</v>
      </c>
      <c r="GK16" s="144">
        <v>3268749</v>
      </c>
      <c r="GL16" s="346">
        <v>648940</v>
      </c>
      <c r="GM16" s="144">
        <v>691129</v>
      </c>
      <c r="GN16" s="144">
        <v>12712861</v>
      </c>
      <c r="GP16" s="144">
        <v>1149397</v>
      </c>
      <c r="GQ16" s="346">
        <v>57190</v>
      </c>
      <c r="GR16" s="144">
        <v>-49720</v>
      </c>
      <c r="GS16" s="144">
        <v>12712861</v>
      </c>
      <c r="GV16" s="144">
        <v>2119352</v>
      </c>
      <c r="GW16" s="346">
        <v>591750</v>
      </c>
      <c r="GX16" s="144">
        <v>740849</v>
      </c>
      <c r="GY16" s="144">
        <v>12712861</v>
      </c>
      <c r="HA16" s="144">
        <v>947169</v>
      </c>
      <c r="HB16" s="346">
        <v>126438</v>
      </c>
      <c r="HC16" s="144">
        <v>369183</v>
      </c>
      <c r="HD16" s="144">
        <v>12712861</v>
      </c>
      <c r="HF16" s="144">
        <v>1172183</v>
      </c>
      <c r="HG16" s="346">
        <v>465312</v>
      </c>
      <c r="HH16" s="144">
        <v>371666</v>
      </c>
      <c r="HI16" s="144">
        <v>12712861</v>
      </c>
      <c r="HK16" s="144">
        <v>4537002</v>
      </c>
      <c r="HL16" s="346">
        <v>537024</v>
      </c>
      <c r="HM16" s="144">
        <v>89645</v>
      </c>
      <c r="HN16" s="144">
        <v>11798018</v>
      </c>
      <c r="HP16" s="341">
        <v>1209501</v>
      </c>
      <c r="HQ16" s="342">
        <v>81095</v>
      </c>
      <c r="HR16" s="341">
        <v>-24074</v>
      </c>
      <c r="HS16" s="341">
        <v>11798018</v>
      </c>
      <c r="HU16" s="144">
        <v>3327501</v>
      </c>
      <c r="HV16" s="346">
        <v>455929</v>
      </c>
      <c r="HW16" s="144">
        <v>113719</v>
      </c>
      <c r="HX16" s="144">
        <v>11798018</v>
      </c>
      <c r="HZ16" s="144">
        <v>1042672</v>
      </c>
      <c r="IA16" s="346">
        <v>91128</v>
      </c>
      <c r="IB16" s="144">
        <v>-25053</v>
      </c>
      <c r="IC16" s="144">
        <v>11798018</v>
      </c>
      <c r="IE16" s="156">
        <v>2284829</v>
      </c>
      <c r="IF16" s="183">
        <v>364801</v>
      </c>
      <c r="IG16" s="156">
        <v>138772</v>
      </c>
      <c r="IH16" s="156">
        <v>11798018</v>
      </c>
      <c r="IJ16" s="156">
        <v>1064128</v>
      </c>
      <c r="IK16" s="183">
        <v>136894</v>
      </c>
      <c r="IL16" s="156">
        <v>9273</v>
      </c>
      <c r="IM16" s="156">
        <v>11798018</v>
      </c>
      <c r="IO16" s="156">
        <v>1220701</v>
      </c>
      <c r="IP16" s="183">
        <v>227907</v>
      </c>
      <c r="IQ16" s="156">
        <v>129499</v>
      </c>
      <c r="IR16" s="156">
        <v>11798018</v>
      </c>
      <c r="IT16" s="156">
        <v>4356101</v>
      </c>
      <c r="IU16" s="156">
        <v>545311</v>
      </c>
      <c r="IV16" s="156">
        <v>-752813</v>
      </c>
      <c r="IW16" s="156">
        <v>10874288</v>
      </c>
      <c r="IY16" s="156">
        <v>1112410</v>
      </c>
      <c r="IZ16" s="183">
        <v>98202</v>
      </c>
      <c r="JA16" s="156">
        <v>-182972</v>
      </c>
      <c r="JB16" s="156">
        <v>10874288</v>
      </c>
      <c r="JC16" s="157"/>
      <c r="JD16" s="156">
        <v>3243691</v>
      </c>
      <c r="JE16" s="156">
        <v>447109</v>
      </c>
      <c r="JF16" s="156">
        <v>-569841</v>
      </c>
      <c r="JG16" s="156">
        <v>10412940</v>
      </c>
      <c r="JH16" s="156"/>
      <c r="JI16" s="156">
        <v>901057</v>
      </c>
      <c r="JJ16" s="156">
        <v>93148</v>
      </c>
      <c r="JK16" s="156">
        <v>-11530</v>
      </c>
      <c r="JL16" s="156">
        <v>10412940</v>
      </c>
      <c r="JM16" s="157"/>
      <c r="JN16" s="156">
        <v>2342634</v>
      </c>
      <c r="JO16" s="156">
        <v>353961</v>
      </c>
      <c r="JP16" s="156">
        <v>-558311</v>
      </c>
      <c r="JQ16" s="156">
        <v>10874288</v>
      </c>
      <c r="JR16" s="157"/>
      <c r="JS16" s="156">
        <f t="shared" si="37"/>
        <v>1070810</v>
      </c>
      <c r="JT16" s="156">
        <f t="shared" si="37"/>
        <v>162812</v>
      </c>
      <c r="JU16" s="156">
        <f t="shared" si="37"/>
        <v>-647533</v>
      </c>
      <c r="JV16" s="156">
        <f>KA16</f>
        <v>10874288</v>
      </c>
      <c r="JW16" s="157"/>
      <c r="JX16" s="156">
        <v>1271824</v>
      </c>
      <c r="JY16" s="156">
        <v>191149</v>
      </c>
      <c r="JZ16" s="156">
        <v>89222</v>
      </c>
      <c r="KA16" s="156">
        <v>10874288</v>
      </c>
      <c r="KB16" s="157"/>
      <c r="KC16" s="156">
        <v>5376280</v>
      </c>
      <c r="KD16" s="156">
        <v>754751</v>
      </c>
      <c r="KE16" s="156">
        <v>-3477076</v>
      </c>
      <c r="KF16" s="156">
        <v>10788413</v>
      </c>
      <c r="KG16" s="157"/>
      <c r="KH16" s="156">
        <v>1464821</v>
      </c>
      <c r="KI16" s="156">
        <v>190712</v>
      </c>
      <c r="KJ16" s="156">
        <v>-3607565</v>
      </c>
      <c r="KK16" s="156">
        <v>10788413</v>
      </c>
      <c r="KL16" s="157"/>
      <c r="KM16" s="156">
        <v>3911459</v>
      </c>
      <c r="KN16" s="156">
        <v>564039</v>
      </c>
      <c r="KO16" s="156">
        <v>130489</v>
      </c>
      <c r="KP16" s="156">
        <v>10788413</v>
      </c>
      <c r="KQ16" s="157"/>
      <c r="KR16" s="156">
        <v>1164371</v>
      </c>
      <c r="KS16" s="156">
        <v>97637</v>
      </c>
      <c r="KT16" s="156">
        <v>-51447</v>
      </c>
      <c r="KU16" s="156">
        <v>10788413</v>
      </c>
      <c r="KV16" s="157"/>
      <c r="KW16" s="156">
        <v>2747088</v>
      </c>
      <c r="KX16" s="156">
        <v>466402</v>
      </c>
      <c r="KY16" s="156">
        <v>181936</v>
      </c>
      <c r="KZ16" s="156">
        <v>10788413</v>
      </c>
      <c r="LA16" s="157"/>
      <c r="LB16" s="156">
        <v>1184017</v>
      </c>
      <c r="LC16" s="156">
        <v>188031</v>
      </c>
      <c r="LD16" s="156">
        <v>44376</v>
      </c>
      <c r="LE16" s="156">
        <v>10788413</v>
      </c>
      <c r="LF16" s="157"/>
      <c r="LG16" s="156">
        <v>1563071</v>
      </c>
      <c r="LH16" s="156">
        <v>278371</v>
      </c>
      <c r="LI16" s="156">
        <v>137560</v>
      </c>
      <c r="LJ16" s="156">
        <v>10788413</v>
      </c>
      <c r="LK16" s="157"/>
      <c r="LL16" s="156">
        <v>4963651</v>
      </c>
      <c r="LM16" s="156">
        <v>792803</v>
      </c>
      <c r="LN16" s="156">
        <v>72093</v>
      </c>
      <c r="LO16" s="156">
        <v>13160048</v>
      </c>
      <c r="LP16" s="163"/>
      <c r="LQ16" s="156">
        <v>1379772.8041700004</v>
      </c>
      <c r="LR16" s="156">
        <v>258487</v>
      </c>
      <c r="LS16" s="156">
        <v>72848</v>
      </c>
      <c r="LT16" s="156">
        <v>13160048</v>
      </c>
      <c r="LU16" s="163"/>
      <c r="LV16" s="156">
        <v>3583878.1958299996</v>
      </c>
      <c r="LW16" s="156">
        <v>534316</v>
      </c>
      <c r="LX16" s="156">
        <v>-755</v>
      </c>
      <c r="LY16" s="156">
        <v>13160048</v>
      </c>
      <c r="LZ16" s="157"/>
      <c r="MA16" s="156">
        <v>1184469.1958299996</v>
      </c>
      <c r="MB16" s="156">
        <v>135550</v>
      </c>
      <c r="MC16" s="156">
        <v>-39176</v>
      </c>
      <c r="MD16" s="156">
        <v>13160048</v>
      </c>
      <c r="ME16" s="157"/>
      <c r="MF16" s="156">
        <v>2320273.9343399997</v>
      </c>
      <c r="MG16" s="156">
        <v>388933</v>
      </c>
      <c r="MH16" s="156">
        <v>38421</v>
      </c>
      <c r="MI16" s="156">
        <v>13160048</v>
      </c>
      <c r="MJ16" s="157"/>
      <c r="MK16" s="156">
        <v>1067907.9343399997</v>
      </c>
      <c r="ML16" s="156">
        <v>136494</v>
      </c>
      <c r="MM16" s="156">
        <v>-38190</v>
      </c>
      <c r="MN16" s="156">
        <v>13160048</v>
      </c>
      <c r="MO16" s="157"/>
      <c r="MP16" s="156">
        <v>1252366</v>
      </c>
      <c r="MQ16" s="156">
        <v>252439</v>
      </c>
      <c r="MR16" s="156">
        <v>76611</v>
      </c>
      <c r="MS16" s="156">
        <v>13160048</v>
      </c>
      <c r="MT16" s="157"/>
      <c r="MU16" s="157"/>
      <c r="MV16" s="157"/>
      <c r="MW16" s="157"/>
      <c r="MX16" s="157"/>
      <c r="MY16" s="157"/>
      <c r="MZ16" s="157"/>
      <c r="NA16" s="157"/>
      <c r="NB16" s="157"/>
      <c r="NC16" s="157"/>
      <c r="ND16" s="157"/>
      <c r="NE16" s="157"/>
      <c r="NF16" s="157"/>
      <c r="NG16" s="157"/>
      <c r="NH16" s="157"/>
      <c r="NI16" s="157"/>
      <c r="NJ16" s="157"/>
      <c r="NK16" s="157"/>
      <c r="NL16" s="157"/>
      <c r="NM16" s="157"/>
      <c r="NN16" s="157"/>
      <c r="NO16" s="157"/>
      <c r="NP16" s="157"/>
      <c r="NQ16" s="157"/>
      <c r="NR16" s="157"/>
      <c r="NS16" s="157"/>
      <c r="NT16" s="157"/>
      <c r="NU16" s="157"/>
      <c r="NV16" s="157"/>
      <c r="NW16" s="157"/>
      <c r="NX16" s="157"/>
      <c r="NY16" s="157"/>
      <c r="NZ16" s="157"/>
      <c r="OA16" s="157"/>
      <c r="OB16" s="157"/>
      <c r="OC16" s="157"/>
      <c r="OD16" s="157"/>
      <c r="OE16" s="157"/>
      <c r="OF16" s="157"/>
      <c r="OG16" s="157"/>
      <c r="OH16" s="157"/>
      <c r="OI16" s="157"/>
      <c r="OJ16" s="157"/>
      <c r="OK16" s="157"/>
      <c r="OL16" s="157"/>
      <c r="OM16" s="157"/>
      <c r="ON16" s="157"/>
      <c r="OO16" s="157"/>
      <c r="OP16" s="157"/>
      <c r="OQ16" s="157"/>
      <c r="OR16" s="157"/>
      <c r="OS16" s="157"/>
      <c r="OT16" s="157"/>
      <c r="OU16" s="157"/>
      <c r="OV16" s="157"/>
      <c r="OW16" s="157"/>
      <c r="OX16" s="157"/>
      <c r="OY16" s="157"/>
      <c r="OZ16" s="157"/>
      <c r="PA16" s="157"/>
    </row>
    <row r="17" spans="1:417">
      <c r="A17" s="466" t="s">
        <v>25</v>
      </c>
      <c r="C17" s="686">
        <f>([3]segmenty!$C$47)*1000</f>
        <v>810000</v>
      </c>
      <c r="D17" s="686">
        <f>([3]segmenty!$C$72)*1000</f>
        <v>135000</v>
      </c>
      <c r="E17" s="686">
        <f>([3]segmenty!$C$69)*1000</f>
        <v>103000</v>
      </c>
      <c r="F17" s="686">
        <f>([3]segmenty!$C$63)*1000</f>
        <v>2768000</v>
      </c>
      <c r="H17" s="686">
        <f>([4]segmenty!$C$47)*1000</f>
        <v>2561000</v>
      </c>
      <c r="I17" s="686">
        <f>([4]segmenty!$C$72)*1000</f>
        <v>123000</v>
      </c>
      <c r="J17" s="686">
        <f>([4]segmenty!$C$69)*1000</f>
        <v>-301000</v>
      </c>
      <c r="K17" s="686">
        <f>([4]segmenty!$C$63)*1000</f>
        <v>2995000</v>
      </c>
      <c r="M17" s="686">
        <f t="shared" ref="M17:M22" si="48">H17-R17</f>
        <v>897000</v>
      </c>
      <c r="N17" s="686">
        <f t="shared" si="38"/>
        <v>-98000</v>
      </c>
      <c r="O17" s="686">
        <f t="shared" si="38"/>
        <v>-441000</v>
      </c>
      <c r="P17" s="686">
        <f t="shared" si="39"/>
        <v>2995000</v>
      </c>
      <c r="R17" s="686">
        <f>([5]segmenty!$C$47)*1000</f>
        <v>1664000</v>
      </c>
      <c r="S17" s="686">
        <f>([5]segmenty!$C$72)*1000</f>
        <v>221000</v>
      </c>
      <c r="T17" s="686">
        <f>([5]segmenty!$C$69)*1000</f>
        <v>140000</v>
      </c>
      <c r="U17" s="686">
        <f>([5]segmenty!$C$63)*1000</f>
        <v>2995000</v>
      </c>
      <c r="W17" s="686">
        <f>('[5]segmenty 3 m-ce'!$C$100)*1000</f>
        <v>278000</v>
      </c>
      <c r="X17" s="686">
        <f>('[5]segmenty 3 m-ce'!$C$115)*1000</f>
        <v>16000</v>
      </c>
      <c r="Y17" s="686">
        <f>('[5]segmenty 3 m-ce'!$C$112)*1000</f>
        <v>-11000</v>
      </c>
      <c r="Z17" s="686">
        <f t="shared" si="40"/>
        <v>2995000</v>
      </c>
      <c r="AB17" s="686">
        <v>1386000</v>
      </c>
      <c r="AC17" s="686">
        <v>205000</v>
      </c>
      <c r="AD17" s="686">
        <v>151000</v>
      </c>
      <c r="AE17" s="686">
        <f>2995000</f>
        <v>2995000</v>
      </c>
      <c r="AG17" s="686">
        <v>502000</v>
      </c>
      <c r="AH17" s="686">
        <v>73000</v>
      </c>
      <c r="AI17" s="686">
        <v>46000</v>
      </c>
      <c r="AJ17" s="686">
        <f t="shared" si="41"/>
        <v>2995000</v>
      </c>
      <c r="AL17" s="686">
        <v>884000</v>
      </c>
      <c r="AM17" s="686">
        <v>132000</v>
      </c>
      <c r="AN17" s="686">
        <v>105000</v>
      </c>
      <c r="AO17" s="686"/>
      <c r="AQ17" s="686"/>
      <c r="AR17" s="686"/>
      <c r="AS17" s="686"/>
      <c r="AT17" s="686"/>
      <c r="AV17" s="686"/>
      <c r="AW17" s="686"/>
      <c r="AX17" s="686"/>
      <c r="AY17" s="686"/>
      <c r="BA17" s="686"/>
      <c r="BB17" s="686"/>
      <c r="BC17" s="686"/>
      <c r="BD17" s="686"/>
      <c r="BF17" s="686"/>
      <c r="BG17" s="686"/>
      <c r="BH17" s="686"/>
      <c r="BI17" s="686"/>
      <c r="BK17" s="686"/>
      <c r="BL17" s="686"/>
      <c r="BM17" s="686"/>
      <c r="BN17" s="686"/>
      <c r="BP17" s="686"/>
      <c r="BQ17" s="686"/>
      <c r="BR17" s="686"/>
      <c r="BS17" s="686"/>
      <c r="BU17" s="686"/>
      <c r="BV17" s="686"/>
      <c r="BW17" s="686"/>
      <c r="BX17" s="686"/>
      <c r="BZ17" s="686"/>
      <c r="CA17" s="686"/>
      <c r="CB17" s="686"/>
      <c r="CC17" s="686"/>
      <c r="CE17" s="686"/>
      <c r="CF17" s="686"/>
      <c r="CG17" s="686"/>
      <c r="CH17" s="686"/>
      <c r="CJ17" s="467"/>
      <c r="CK17" s="467"/>
      <c r="CL17" s="467"/>
      <c r="CM17" s="467"/>
      <c r="CO17" s="467"/>
      <c r="CP17" s="467"/>
      <c r="CQ17" s="467"/>
      <c r="CR17" s="467"/>
      <c r="CT17" s="467"/>
      <c r="CU17" s="467"/>
      <c r="CV17" s="467"/>
      <c r="CW17" s="467"/>
      <c r="CY17" s="467"/>
      <c r="CZ17" s="467"/>
      <c r="DA17" s="467"/>
      <c r="DB17" s="467"/>
      <c r="DD17" s="467"/>
      <c r="DE17" s="467"/>
      <c r="DF17" s="467"/>
      <c r="DG17" s="467"/>
      <c r="DI17" s="467"/>
      <c r="DJ17" s="467"/>
      <c r="DK17" s="467"/>
      <c r="DL17" s="467"/>
      <c r="DN17" s="467"/>
      <c r="DO17" s="467"/>
      <c r="DP17" s="467"/>
      <c r="DQ17" s="467"/>
      <c r="DS17" s="467"/>
      <c r="DT17" s="467"/>
      <c r="DU17" s="467"/>
      <c r="DV17" s="467"/>
      <c r="DX17" s="467"/>
      <c r="DY17" s="467"/>
      <c r="DZ17" s="467"/>
      <c r="EA17" s="467"/>
      <c r="EC17" s="467"/>
      <c r="ED17" s="467"/>
      <c r="EE17" s="467"/>
      <c r="EF17" s="467"/>
      <c r="EH17" s="467"/>
      <c r="EI17" s="467"/>
      <c r="EJ17" s="467"/>
      <c r="EK17" s="467"/>
      <c r="EM17" s="467"/>
      <c r="EN17" s="467"/>
      <c r="EO17" s="467"/>
      <c r="EP17" s="467"/>
      <c r="ER17" s="467"/>
      <c r="ES17" s="467"/>
      <c r="ET17" s="467"/>
      <c r="EU17" s="467"/>
      <c r="EW17" s="467"/>
      <c r="EX17" s="467"/>
      <c r="EY17" s="467"/>
      <c r="EZ17" s="467"/>
      <c r="FB17" s="467"/>
      <c r="FC17" s="467"/>
      <c r="FD17" s="467"/>
      <c r="FE17" s="467"/>
      <c r="FG17" s="467"/>
      <c r="FH17" s="467"/>
      <c r="FI17" s="467"/>
      <c r="FJ17" s="467"/>
      <c r="FL17" s="464"/>
      <c r="FM17" s="465"/>
      <c r="FN17" s="464"/>
      <c r="FO17" s="464"/>
      <c r="FQ17" s="464"/>
      <c r="FR17" s="465"/>
      <c r="FS17" s="464"/>
      <c r="FT17" s="464"/>
      <c r="FV17" s="464"/>
      <c r="FW17" s="465"/>
      <c r="FX17" s="464"/>
      <c r="FY17" s="464"/>
      <c r="FZ17" s="5"/>
      <c r="GA17" s="144"/>
      <c r="GB17" s="346"/>
      <c r="GC17" s="144"/>
      <c r="GD17" s="144"/>
      <c r="GF17" s="144"/>
      <c r="GG17" s="346"/>
      <c r="GH17" s="144"/>
      <c r="GI17" s="144"/>
      <c r="GK17" s="144"/>
      <c r="GL17" s="346"/>
      <c r="GM17" s="144"/>
      <c r="GN17" s="144"/>
      <c r="GP17" s="144"/>
      <c r="GQ17" s="346"/>
      <c r="GR17" s="144"/>
      <c r="GS17" s="144"/>
      <c r="GV17" s="144"/>
      <c r="GW17" s="346"/>
      <c r="GX17" s="144"/>
      <c r="GY17" s="144"/>
      <c r="HA17" s="144"/>
      <c r="HB17" s="346"/>
      <c r="HC17" s="144"/>
      <c r="HD17" s="144"/>
      <c r="HF17" s="144"/>
      <c r="HG17" s="346"/>
      <c r="HH17" s="144"/>
      <c r="HI17" s="144"/>
      <c r="HK17" s="144"/>
      <c r="HL17" s="346"/>
      <c r="HM17" s="144"/>
      <c r="HN17" s="144"/>
      <c r="HP17" s="341"/>
      <c r="HQ17" s="342"/>
      <c r="HR17" s="341"/>
      <c r="HS17" s="341"/>
      <c r="HU17" s="144"/>
      <c r="HV17" s="346"/>
      <c r="HW17" s="144"/>
      <c r="HX17" s="144"/>
      <c r="HZ17" s="144"/>
      <c r="IA17" s="346"/>
      <c r="IB17" s="144"/>
      <c r="IC17" s="144"/>
      <c r="IE17" s="156"/>
      <c r="IF17" s="183"/>
      <c r="IG17" s="156"/>
      <c r="IH17" s="156"/>
      <c r="IJ17" s="156"/>
      <c r="IK17" s="183"/>
      <c r="IL17" s="156"/>
      <c r="IM17" s="156"/>
      <c r="IO17" s="156"/>
      <c r="IP17" s="183"/>
      <c r="IQ17" s="156"/>
      <c r="IR17" s="156"/>
      <c r="IT17" s="156"/>
      <c r="IU17" s="156"/>
      <c r="IV17" s="156"/>
      <c r="IW17" s="156"/>
      <c r="IY17" s="156"/>
      <c r="IZ17" s="183"/>
      <c r="JA17" s="156"/>
      <c r="JB17" s="156"/>
      <c r="JC17" s="157"/>
      <c r="JD17" s="156"/>
      <c r="JE17" s="156"/>
      <c r="JF17" s="156"/>
      <c r="JG17" s="156"/>
      <c r="JH17" s="156"/>
      <c r="JI17" s="156"/>
      <c r="JJ17" s="156"/>
      <c r="JK17" s="156"/>
      <c r="JL17" s="156"/>
      <c r="JM17" s="157"/>
      <c r="JN17" s="156"/>
      <c r="JO17" s="156"/>
      <c r="JP17" s="156"/>
      <c r="JQ17" s="156"/>
      <c r="JR17" s="157"/>
      <c r="JS17" s="156"/>
      <c r="JT17" s="156"/>
      <c r="JU17" s="156"/>
      <c r="JV17" s="156"/>
      <c r="JW17" s="157"/>
      <c r="JX17" s="156"/>
      <c r="JY17" s="156"/>
      <c r="JZ17" s="156"/>
      <c r="KA17" s="156"/>
      <c r="KB17" s="157"/>
      <c r="KC17" s="156"/>
      <c r="KD17" s="156"/>
      <c r="KE17" s="156"/>
      <c r="KF17" s="156"/>
      <c r="KG17" s="157"/>
      <c r="KH17" s="156"/>
      <c r="KI17" s="156"/>
      <c r="KJ17" s="156"/>
      <c r="KK17" s="156"/>
      <c r="KL17" s="157"/>
      <c r="KM17" s="156"/>
      <c r="KN17" s="156"/>
      <c r="KO17" s="156"/>
      <c r="KP17" s="156"/>
      <c r="KQ17" s="157"/>
      <c r="KR17" s="156"/>
      <c r="KS17" s="156"/>
      <c r="KT17" s="156"/>
      <c r="KU17" s="156"/>
      <c r="KV17" s="157"/>
      <c r="KW17" s="156"/>
      <c r="KX17" s="156"/>
      <c r="KY17" s="156"/>
      <c r="KZ17" s="156"/>
      <c r="LA17" s="157"/>
      <c r="LB17" s="156"/>
      <c r="LC17" s="156"/>
      <c r="LD17" s="156"/>
      <c r="LE17" s="156"/>
      <c r="LF17" s="157"/>
      <c r="LG17" s="156"/>
      <c r="LH17" s="156"/>
      <c r="LI17" s="156"/>
      <c r="LJ17" s="156"/>
      <c r="LK17" s="157"/>
      <c r="LL17" s="156"/>
      <c r="LM17" s="156"/>
      <c r="LN17" s="156"/>
      <c r="LO17" s="156"/>
      <c r="LP17" s="163"/>
      <c r="LQ17" s="156"/>
      <c r="LR17" s="156"/>
      <c r="LS17" s="156"/>
      <c r="LT17" s="156"/>
      <c r="LU17" s="163"/>
      <c r="LV17" s="156"/>
      <c r="LW17" s="156"/>
      <c r="LX17" s="156"/>
      <c r="LY17" s="156"/>
      <c r="LZ17" s="157"/>
      <c r="MA17" s="156"/>
      <c r="MB17" s="156"/>
      <c r="MC17" s="156"/>
      <c r="MD17" s="156"/>
      <c r="ME17" s="157"/>
      <c r="MF17" s="156"/>
      <c r="MG17" s="156"/>
      <c r="MH17" s="156"/>
      <c r="MI17" s="156"/>
      <c r="MJ17" s="157"/>
      <c r="MK17" s="156"/>
      <c r="ML17" s="156"/>
      <c r="MM17" s="156"/>
      <c r="MN17" s="156"/>
      <c r="MO17" s="157"/>
      <c r="MP17" s="156"/>
      <c r="MQ17" s="156"/>
      <c r="MR17" s="156"/>
      <c r="MS17" s="156"/>
      <c r="MT17" s="157"/>
      <c r="MU17" s="157"/>
      <c r="MV17" s="157"/>
      <c r="MW17" s="157"/>
      <c r="MX17" s="157"/>
      <c r="MY17" s="157"/>
      <c r="MZ17" s="157"/>
      <c r="NA17" s="157"/>
      <c r="NB17" s="157"/>
      <c r="NC17" s="157"/>
      <c r="ND17" s="157"/>
      <c r="NE17" s="157"/>
      <c r="NF17" s="157"/>
      <c r="NG17" s="157"/>
      <c r="NH17" s="157"/>
      <c r="NI17" s="157"/>
      <c r="NJ17" s="157"/>
      <c r="NK17" s="157"/>
      <c r="NL17" s="157"/>
      <c r="NM17" s="157"/>
      <c r="NN17" s="157"/>
      <c r="NO17" s="157"/>
      <c r="NP17" s="157"/>
      <c r="NQ17" s="157"/>
      <c r="NR17" s="157"/>
      <c r="NS17" s="157"/>
      <c r="NT17" s="157"/>
      <c r="NU17" s="157"/>
      <c r="NV17" s="157"/>
      <c r="NW17" s="157"/>
      <c r="NX17" s="157"/>
      <c r="NY17" s="157"/>
      <c r="NZ17" s="157"/>
      <c r="OA17" s="157"/>
      <c r="OB17" s="157"/>
      <c r="OC17" s="157"/>
      <c r="OD17" s="157"/>
      <c r="OE17" s="157"/>
      <c r="OF17" s="157"/>
      <c r="OG17" s="157"/>
      <c r="OH17" s="157"/>
      <c r="OI17" s="157"/>
      <c r="OJ17" s="157"/>
      <c r="OK17" s="157"/>
      <c r="OL17" s="157"/>
      <c r="OM17" s="157"/>
      <c r="ON17" s="157"/>
      <c r="OO17" s="157"/>
      <c r="OP17" s="157"/>
      <c r="OQ17" s="157"/>
      <c r="OR17" s="157"/>
      <c r="OS17" s="157"/>
      <c r="OT17" s="157"/>
      <c r="OU17" s="157"/>
      <c r="OV17" s="157"/>
      <c r="OW17" s="157"/>
      <c r="OX17" s="157"/>
      <c r="OY17" s="157"/>
      <c r="OZ17" s="157"/>
      <c r="PA17" s="157"/>
    </row>
    <row r="18" spans="1:417">
      <c r="A18" s="59" t="s">
        <v>581</v>
      </c>
      <c r="C18" s="686">
        <f>([3]segmenty!$D$47)*1000</f>
        <v>292000</v>
      </c>
      <c r="D18" s="686">
        <f>([3]segmenty!$D$72)*1000</f>
        <v>229000</v>
      </c>
      <c r="E18" s="686">
        <f>([3]segmenty!$D$69)*1000</f>
        <v>182000</v>
      </c>
      <c r="F18" s="686">
        <f>([3]segmenty!$D$63)*1000</f>
        <v>5192000</v>
      </c>
      <c r="H18" s="686">
        <f>([4]segmenty!$D$47)*1000</f>
        <v>750000</v>
      </c>
      <c r="I18" s="686">
        <f>([4]segmenty!$D$72)*1000</f>
        <v>431000</v>
      </c>
      <c r="J18" s="686">
        <f>([4]segmenty!$D$69)*1000</f>
        <v>261000</v>
      </c>
      <c r="K18" s="686">
        <f>([4]segmenty!$D$63)*1000</f>
        <v>3971000</v>
      </c>
      <c r="M18" s="686">
        <f t="shared" si="48"/>
        <v>189000</v>
      </c>
      <c r="N18" s="686">
        <f t="shared" si="38"/>
        <v>110000</v>
      </c>
      <c r="O18" s="686">
        <f t="shared" si="38"/>
        <v>82000</v>
      </c>
      <c r="P18" s="686">
        <f t="shared" si="39"/>
        <v>3971000</v>
      </c>
      <c r="R18" s="686">
        <f>([5]segmenty!$D$47)*1000</f>
        <v>561000</v>
      </c>
      <c r="S18" s="686">
        <f>([5]segmenty!$D$72)*1000</f>
        <v>321000</v>
      </c>
      <c r="T18" s="686">
        <f>([5]segmenty!$D$69)*1000</f>
        <v>179000</v>
      </c>
      <c r="U18" s="686">
        <f>([5]segmenty!$D$63)*1000</f>
        <v>3971000</v>
      </c>
      <c r="W18" s="686">
        <f>('[5]segmenty 3 m-ce'!$D$100)*1000</f>
        <v>121000</v>
      </c>
      <c r="X18" s="686">
        <f>('[5]segmenty 3 m-ce'!$D$115)*1000</f>
        <v>45000</v>
      </c>
      <c r="Y18" s="686">
        <f>('[5]segmenty 3 m-ce'!$D$112)*1000</f>
        <v>-1000</v>
      </c>
      <c r="Z18" s="686">
        <f t="shared" si="40"/>
        <v>3971000</v>
      </c>
      <c r="AB18" s="686">
        <f>[9]segmenty!$C$9*1000</f>
        <v>440000</v>
      </c>
      <c r="AC18" s="686">
        <v>276000</v>
      </c>
      <c r="AD18" s="686">
        <v>180000</v>
      </c>
      <c r="AE18" s="686">
        <v>3971000</v>
      </c>
      <c r="AG18" s="686">
        <v>171000</v>
      </c>
      <c r="AH18" s="686">
        <v>90000</v>
      </c>
      <c r="AI18" s="686">
        <v>42000</v>
      </c>
      <c r="AJ18" s="686">
        <f t="shared" si="41"/>
        <v>3971000</v>
      </c>
      <c r="AL18" s="686">
        <f>[6]segmenty!$C$47*1000</f>
        <v>269000</v>
      </c>
      <c r="AM18" s="686">
        <f>[6]segmenty!$C$72*1000</f>
        <v>186000</v>
      </c>
      <c r="AN18" s="686">
        <f>[6]segmenty!$C$69*1000</f>
        <v>138000</v>
      </c>
      <c r="AO18" s="686">
        <f>[6]segmenty!$C$63*1000</f>
        <v>3971000</v>
      </c>
      <c r="AQ18" s="686">
        <f>([7]segmenty!$C$48)*1000</f>
        <v>909000</v>
      </c>
      <c r="AR18" s="686">
        <f>([7]segmenty!$C$73)*1000</f>
        <v>476000</v>
      </c>
      <c r="AS18" s="686">
        <f>([7]segmenty!$C$70)*1000</f>
        <v>292000</v>
      </c>
      <c r="AT18" s="686">
        <f>([7]segmenty!$C$64)*1000</f>
        <v>2910000</v>
      </c>
      <c r="AV18" s="686">
        <f t="shared" si="42"/>
        <v>163000</v>
      </c>
      <c r="AW18" s="686">
        <f t="shared" si="42"/>
        <v>94000</v>
      </c>
      <c r="AX18" s="686">
        <f t="shared" si="42"/>
        <v>20000</v>
      </c>
      <c r="AY18" s="686">
        <f t="shared" si="43"/>
        <v>2910000</v>
      </c>
      <c r="BA18" s="686">
        <f>([8]segmenty!$C$48)*1000</f>
        <v>746000</v>
      </c>
      <c r="BB18" s="686">
        <f>([8]segmenty!$C$73)*1000</f>
        <v>382000</v>
      </c>
      <c r="BC18" s="686">
        <f>([8]segmenty!$C$70)*1000</f>
        <v>272000</v>
      </c>
      <c r="BD18" s="686">
        <f>([8]segmenty!$C$64)*1000</f>
        <v>2910000</v>
      </c>
      <c r="BF18" s="686">
        <f>('[8]segmenty 3 m-ce PREZ'!$C$39)*1000</f>
        <v>178000</v>
      </c>
      <c r="BG18" s="686">
        <f>('[8]segmenty 3 m-ce PREZ'!$C$46)*1000</f>
        <v>86000</v>
      </c>
      <c r="BH18" s="686">
        <f>('[8]segmenty 3 m-ce PREZ'!$C$42)*1000</f>
        <v>50000</v>
      </c>
      <c r="BI18" s="686">
        <f t="shared" si="44"/>
        <v>2910000</v>
      </c>
      <c r="BK18" s="686">
        <f>([9]segmenty!$C$48)*1000</f>
        <v>568000</v>
      </c>
      <c r="BL18" s="686">
        <f>([9]segmenty!$C$72)*1000</f>
        <v>296000</v>
      </c>
      <c r="BM18" s="686">
        <f>([9]segmenty!$C$69)*1000</f>
        <v>222000</v>
      </c>
      <c r="BN18" s="686">
        <f>([9]segmenty!$C$63)*1000</f>
        <v>2910000</v>
      </c>
      <c r="BP18" s="686">
        <f>('[9]segmenty 3 m-ce'!$C$101)*1000</f>
        <v>254000</v>
      </c>
      <c r="BQ18" s="686">
        <f>('[9]segmenty 3 m-ce'!$C$115)*1000</f>
        <v>110000</v>
      </c>
      <c r="BR18" s="686">
        <f>('[9]segmenty 3 m-ce'!$C$112)*1000</f>
        <v>68000</v>
      </c>
      <c r="BS18" s="686">
        <f t="shared" si="45"/>
        <v>2910000</v>
      </c>
      <c r="BU18" s="686">
        <f>[10]segmenty!$C$48*1000</f>
        <v>314000</v>
      </c>
      <c r="BV18" s="686">
        <f>[10]segmenty!$C$71*1000</f>
        <v>186000</v>
      </c>
      <c r="BW18" s="686">
        <f>[10]segmenty!$C$69*1000</f>
        <v>154000</v>
      </c>
      <c r="BX18" s="686">
        <f>[10]segmenty!$C$63*1000</f>
        <v>2910000</v>
      </c>
      <c r="BZ18" s="686">
        <f t="shared" si="46"/>
        <v>217000</v>
      </c>
      <c r="CA18" s="686">
        <f t="shared" si="46"/>
        <v>125000</v>
      </c>
      <c r="CB18" s="686">
        <f t="shared" si="46"/>
        <v>90000</v>
      </c>
      <c r="CC18" s="686">
        <f t="shared" si="47"/>
        <v>2470000</v>
      </c>
      <c r="CE18" s="686">
        <v>661000</v>
      </c>
      <c r="CF18" s="686">
        <v>376000</v>
      </c>
      <c r="CG18" s="686">
        <v>224000</v>
      </c>
      <c r="CH18" s="686">
        <v>2470000</v>
      </c>
      <c r="CJ18" s="467">
        <v>135000</v>
      </c>
      <c r="CK18" s="467">
        <v>84000</v>
      </c>
      <c r="CL18" s="467">
        <v>45000</v>
      </c>
      <c r="CM18" s="467">
        <f t="shared" si="25"/>
        <v>2470000</v>
      </c>
      <c r="CO18" s="467">
        <v>444000</v>
      </c>
      <c r="CP18" s="467">
        <v>251000</v>
      </c>
      <c r="CQ18" s="467">
        <v>134000</v>
      </c>
      <c r="CR18" s="467">
        <v>2470000</v>
      </c>
      <c r="CT18" s="467">
        <f t="shared" si="26"/>
        <v>153000</v>
      </c>
      <c r="CU18" s="467">
        <f t="shared" si="26"/>
        <v>83000</v>
      </c>
      <c r="CV18" s="467">
        <f t="shared" si="26"/>
        <v>44000</v>
      </c>
      <c r="CW18" s="467">
        <v>2470000</v>
      </c>
      <c r="CY18" s="467">
        <v>309000</v>
      </c>
      <c r="CZ18" s="467">
        <v>167000</v>
      </c>
      <c r="DA18" s="467">
        <v>89000</v>
      </c>
      <c r="DB18" s="467">
        <v>2470000</v>
      </c>
      <c r="DD18" s="467">
        <v>156000</v>
      </c>
      <c r="DE18" s="467">
        <v>84000</v>
      </c>
      <c r="DF18" s="467">
        <v>45000</v>
      </c>
      <c r="DG18" s="467">
        <v>2470000</v>
      </c>
      <c r="DI18" s="467">
        <f t="shared" si="27"/>
        <v>158000</v>
      </c>
      <c r="DJ18" s="467">
        <f t="shared" si="27"/>
        <v>79638</v>
      </c>
      <c r="DK18" s="467">
        <f t="shared" si="27"/>
        <v>41525</v>
      </c>
      <c r="DL18" s="467">
        <f t="shared" si="28"/>
        <v>2439000</v>
      </c>
      <c r="DN18" s="467">
        <v>616000</v>
      </c>
      <c r="DO18" s="467">
        <v>297000</v>
      </c>
      <c r="DP18" s="467">
        <v>146000</v>
      </c>
      <c r="DQ18" s="467">
        <v>2439000</v>
      </c>
      <c r="DS18" s="467">
        <f t="shared" si="29"/>
        <v>108978</v>
      </c>
      <c r="DT18" s="467">
        <f t="shared" si="29"/>
        <v>53797</v>
      </c>
      <c r="DU18" s="467">
        <f t="shared" si="29"/>
        <v>16392</v>
      </c>
      <c r="DV18" s="467">
        <f t="shared" si="30"/>
        <v>2438924</v>
      </c>
      <c r="DX18" s="467">
        <v>458000</v>
      </c>
      <c r="DY18" s="467">
        <v>217362</v>
      </c>
      <c r="DZ18" s="467">
        <v>104475</v>
      </c>
      <c r="EA18" s="467">
        <v>2438924</v>
      </c>
      <c r="EC18" s="467">
        <f t="shared" si="31"/>
        <v>149855</v>
      </c>
      <c r="ED18" s="467">
        <f t="shared" si="31"/>
        <v>42495</v>
      </c>
      <c r="EE18" s="467">
        <f t="shared" si="31"/>
        <v>4801</v>
      </c>
      <c r="EF18" s="467">
        <f t="shared" si="32"/>
        <v>2438924</v>
      </c>
      <c r="EH18" s="467">
        <v>349022</v>
      </c>
      <c r="EI18" s="467">
        <v>163565</v>
      </c>
      <c r="EJ18" s="467">
        <v>88083</v>
      </c>
      <c r="EK18" s="467">
        <v>2438924</v>
      </c>
      <c r="EM18" s="467">
        <v>199167</v>
      </c>
      <c r="EN18" s="467">
        <v>121070</v>
      </c>
      <c r="EO18" s="467">
        <v>83282</v>
      </c>
      <c r="EP18" s="467">
        <v>2438924</v>
      </c>
      <c r="ER18" s="467">
        <f t="shared" si="33"/>
        <v>138116</v>
      </c>
      <c r="ES18" s="467">
        <f t="shared" si="33"/>
        <v>85816</v>
      </c>
      <c r="ET18" s="467">
        <f t="shared" si="33"/>
        <v>74660</v>
      </c>
      <c r="EU18" s="467">
        <f t="shared" si="34"/>
        <v>2491198</v>
      </c>
      <c r="EW18" s="467">
        <v>433911</v>
      </c>
      <c r="EX18" s="467">
        <v>368213</v>
      </c>
      <c r="EY18" s="467">
        <v>284346</v>
      </c>
      <c r="EZ18" s="467">
        <v>2491198</v>
      </c>
      <c r="FB18" s="467">
        <v>83164</v>
      </c>
      <c r="FC18" s="467">
        <v>157959</v>
      </c>
      <c r="FD18" s="467">
        <v>130262</v>
      </c>
      <c r="FE18" s="467">
        <f t="shared" si="35"/>
        <v>2491198</v>
      </c>
      <c r="FG18" s="467">
        <v>295795</v>
      </c>
      <c r="FH18" s="467">
        <v>282397</v>
      </c>
      <c r="FI18" s="467">
        <v>209686</v>
      </c>
      <c r="FJ18" s="467">
        <v>2491198</v>
      </c>
      <c r="FL18" s="464">
        <f t="shared" si="36"/>
        <v>100855</v>
      </c>
      <c r="FM18" s="465">
        <f t="shared" si="36"/>
        <v>52557</v>
      </c>
      <c r="FN18" s="464">
        <f t="shared" si="36"/>
        <v>30330</v>
      </c>
      <c r="FO18" s="464">
        <v>1693053</v>
      </c>
      <c r="FQ18" s="464">
        <v>212631</v>
      </c>
      <c r="FR18" s="465">
        <v>124438</v>
      </c>
      <c r="FS18" s="464">
        <v>79424</v>
      </c>
      <c r="FT18" s="464">
        <v>1693053</v>
      </c>
      <c r="FV18" s="464">
        <v>111776</v>
      </c>
      <c r="FW18" s="465">
        <v>71881</v>
      </c>
      <c r="FX18" s="464">
        <v>49094</v>
      </c>
      <c r="FY18" s="464">
        <v>1750751</v>
      </c>
      <c r="FZ18" s="5"/>
      <c r="GA18" s="144"/>
      <c r="GB18" s="346"/>
      <c r="GC18" s="144"/>
      <c r="GD18" s="144"/>
      <c r="GF18" s="144"/>
      <c r="GG18" s="346"/>
      <c r="GH18" s="144"/>
      <c r="GI18" s="144"/>
      <c r="GK18" s="144"/>
      <c r="GL18" s="346"/>
      <c r="GM18" s="144"/>
      <c r="GN18" s="144"/>
      <c r="GP18" s="144"/>
      <c r="GQ18" s="346"/>
      <c r="GR18" s="144"/>
      <c r="GS18" s="144"/>
      <c r="GV18" s="144"/>
      <c r="GW18" s="346"/>
      <c r="GX18" s="144"/>
      <c r="GY18" s="144"/>
      <c r="HA18" s="144"/>
      <c r="HB18" s="346"/>
      <c r="HC18" s="144"/>
      <c r="HD18" s="144"/>
      <c r="HF18" s="144"/>
      <c r="HG18" s="346"/>
      <c r="HH18" s="144"/>
      <c r="HI18" s="144"/>
      <c r="HK18" s="144"/>
      <c r="HL18" s="346"/>
      <c r="HM18" s="144"/>
      <c r="HN18" s="144"/>
      <c r="HP18" s="341"/>
      <c r="HQ18" s="342"/>
      <c r="HR18" s="341"/>
      <c r="HS18" s="341"/>
      <c r="HU18" s="144"/>
      <c r="HV18" s="346"/>
      <c r="HW18" s="144"/>
      <c r="HX18" s="144"/>
      <c r="HZ18" s="144"/>
      <c r="IA18" s="346"/>
      <c r="IB18" s="144"/>
      <c r="IC18" s="144"/>
      <c r="IE18" s="156"/>
      <c r="IF18" s="183"/>
      <c r="IG18" s="156"/>
      <c r="IH18" s="156"/>
      <c r="IJ18" s="156"/>
      <c r="IK18" s="183"/>
      <c r="IL18" s="156"/>
      <c r="IM18" s="156"/>
      <c r="IO18" s="156"/>
      <c r="IP18" s="183"/>
      <c r="IQ18" s="156"/>
      <c r="IR18" s="156"/>
      <c r="IT18" s="156"/>
      <c r="IU18" s="156"/>
      <c r="IV18" s="156"/>
      <c r="IW18" s="156"/>
      <c r="IY18" s="156"/>
      <c r="IZ18" s="183"/>
      <c r="JA18" s="156"/>
      <c r="JB18" s="156"/>
      <c r="JC18" s="157"/>
      <c r="JD18" s="156"/>
      <c r="JE18" s="156"/>
      <c r="JF18" s="156"/>
      <c r="JG18" s="156"/>
      <c r="JH18" s="156"/>
      <c r="JI18" s="156"/>
      <c r="JJ18" s="156"/>
      <c r="JK18" s="156"/>
      <c r="JL18" s="156"/>
      <c r="JM18" s="157"/>
      <c r="JN18" s="156"/>
      <c r="JO18" s="156"/>
      <c r="JP18" s="156"/>
      <c r="JQ18" s="156"/>
      <c r="JR18" s="157"/>
      <c r="JS18" s="156"/>
      <c r="JT18" s="156"/>
      <c r="JU18" s="156"/>
      <c r="JV18" s="156"/>
      <c r="JW18" s="157"/>
      <c r="JX18" s="156"/>
      <c r="JY18" s="156"/>
      <c r="JZ18" s="156"/>
      <c r="KA18" s="156"/>
      <c r="KB18" s="157"/>
      <c r="KC18" s="156"/>
      <c r="KD18" s="156"/>
      <c r="KE18" s="156"/>
      <c r="KF18" s="156"/>
      <c r="KG18" s="157"/>
      <c r="KH18" s="156"/>
      <c r="KI18" s="156"/>
      <c r="KJ18" s="156"/>
      <c r="KK18" s="156"/>
      <c r="KL18" s="157"/>
      <c r="KM18" s="156"/>
      <c r="KN18" s="156"/>
      <c r="KO18" s="156"/>
      <c r="KP18" s="156"/>
      <c r="KQ18" s="157"/>
      <c r="KR18" s="156"/>
      <c r="KS18" s="156"/>
      <c r="KT18" s="156"/>
      <c r="KU18" s="156"/>
      <c r="KV18" s="157"/>
      <c r="KW18" s="156"/>
      <c r="KX18" s="156"/>
      <c r="KY18" s="156"/>
      <c r="KZ18" s="156"/>
      <c r="LA18" s="157"/>
      <c r="LB18" s="156"/>
      <c r="LC18" s="156"/>
      <c r="LD18" s="156"/>
      <c r="LE18" s="156"/>
      <c r="LF18" s="157"/>
      <c r="LG18" s="156"/>
      <c r="LH18" s="156"/>
      <c r="LI18" s="156"/>
      <c r="LJ18" s="156"/>
      <c r="LK18" s="157"/>
      <c r="LL18" s="156"/>
      <c r="LM18" s="156"/>
      <c r="LN18" s="156"/>
      <c r="LO18" s="156"/>
      <c r="LP18" s="163"/>
      <c r="LQ18" s="156"/>
      <c r="LR18" s="156"/>
      <c r="LS18" s="156"/>
      <c r="LT18" s="156"/>
      <c r="LU18" s="163"/>
      <c r="LV18" s="156"/>
      <c r="LW18" s="156"/>
      <c r="LX18" s="156"/>
      <c r="LY18" s="156"/>
      <c r="LZ18" s="157"/>
      <c r="MA18" s="156"/>
      <c r="MB18" s="156"/>
      <c r="MC18" s="156"/>
      <c r="MD18" s="156"/>
      <c r="ME18" s="157"/>
      <c r="MF18" s="156"/>
      <c r="MG18" s="156"/>
      <c r="MH18" s="156"/>
      <c r="MI18" s="156"/>
      <c r="MJ18" s="157"/>
      <c r="MK18" s="156"/>
      <c r="ML18" s="156"/>
      <c r="MM18" s="156"/>
      <c r="MN18" s="156"/>
      <c r="MO18" s="157"/>
      <c r="MP18" s="156"/>
      <c r="MQ18" s="156"/>
      <c r="MR18" s="156"/>
      <c r="MS18" s="156"/>
      <c r="MT18" s="157"/>
      <c r="MU18" s="157"/>
      <c r="MV18" s="157"/>
      <c r="MW18" s="157"/>
      <c r="MX18" s="157"/>
      <c r="MY18" s="157"/>
      <c r="MZ18" s="157"/>
      <c r="NA18" s="157"/>
      <c r="NB18" s="157"/>
      <c r="NC18" s="157"/>
      <c r="ND18" s="157"/>
      <c r="NE18" s="157"/>
      <c r="NF18" s="157"/>
      <c r="NG18" s="157"/>
      <c r="NH18" s="157"/>
      <c r="NI18" s="157"/>
      <c r="NJ18" s="157"/>
      <c r="NK18" s="157"/>
      <c r="NL18" s="157"/>
      <c r="NM18" s="157"/>
      <c r="NN18" s="157"/>
      <c r="NO18" s="157"/>
      <c r="NP18" s="157"/>
      <c r="NQ18" s="157"/>
      <c r="NR18" s="157"/>
      <c r="NS18" s="157"/>
      <c r="NT18" s="157"/>
      <c r="NU18" s="157"/>
      <c r="NV18" s="157"/>
      <c r="NW18" s="157"/>
      <c r="NX18" s="157"/>
      <c r="NY18" s="157"/>
      <c r="NZ18" s="157"/>
      <c r="OA18" s="157"/>
      <c r="OB18" s="157"/>
      <c r="OC18" s="157"/>
      <c r="OD18" s="157"/>
      <c r="OE18" s="157"/>
      <c r="OF18" s="157"/>
      <c r="OG18" s="157"/>
      <c r="OH18" s="157"/>
      <c r="OI18" s="157"/>
      <c r="OJ18" s="157"/>
      <c r="OK18" s="157"/>
      <c r="OL18" s="157"/>
      <c r="OM18" s="157"/>
      <c r="ON18" s="157"/>
      <c r="OO18" s="157"/>
      <c r="OP18" s="157"/>
      <c r="OQ18" s="157"/>
      <c r="OR18" s="157"/>
      <c r="OS18" s="157"/>
      <c r="OT18" s="157"/>
      <c r="OU18" s="157"/>
      <c r="OV18" s="157"/>
      <c r="OW18" s="157"/>
      <c r="OX18" s="157"/>
      <c r="OY18" s="157"/>
      <c r="OZ18" s="157"/>
      <c r="PA18" s="157"/>
    </row>
    <row r="19" spans="1:417" ht="15" customHeight="1">
      <c r="A19" s="59" t="s">
        <v>78</v>
      </c>
      <c r="C19" s="686">
        <f>([3]segmenty!$E$47)*1000</f>
        <v>2838000</v>
      </c>
      <c r="D19" s="686">
        <f>([3]segmenty!$E$72)*1000</f>
        <v>1015000</v>
      </c>
      <c r="E19" s="686">
        <f>([3]segmenty!$E$69)*1000</f>
        <v>674000</v>
      </c>
      <c r="F19" s="686">
        <f>([3]segmenty!$E$63)*1000</f>
        <v>25961000</v>
      </c>
      <c r="H19" s="686">
        <f>([4]segmenty!$E$47)*1000</f>
        <v>11155000</v>
      </c>
      <c r="I19" s="686">
        <f>([4]segmenty!$E$72)*1000</f>
        <v>2962000</v>
      </c>
      <c r="J19" s="686">
        <f>([4]segmenty!$E$69)*1000</f>
        <v>1630000</v>
      </c>
      <c r="K19" s="686">
        <f>([4]segmenty!$E$63)*1000</f>
        <v>24194000</v>
      </c>
      <c r="M19" s="686">
        <f t="shared" si="48"/>
        <v>2777000</v>
      </c>
      <c r="N19" s="686">
        <f t="shared" si="38"/>
        <v>119000</v>
      </c>
      <c r="O19" s="686">
        <f t="shared" si="38"/>
        <v>-229000</v>
      </c>
      <c r="P19" s="686">
        <f t="shared" si="39"/>
        <v>24194000</v>
      </c>
      <c r="R19" s="686">
        <f>([5]segmenty!$E$47)*1000-583000</f>
        <v>8378000</v>
      </c>
      <c r="S19" s="686">
        <f>([5]segmenty!$E$72)*1000-583000</f>
        <v>2843000</v>
      </c>
      <c r="T19" s="686">
        <f>([5]segmenty!$E$69)*1000-583000</f>
        <v>1859000</v>
      </c>
      <c r="U19" s="686">
        <f>([5]segmenty!$E$63)*1000</f>
        <v>24194000</v>
      </c>
      <c r="W19" s="686">
        <f>('[5]segmenty 3 m-ce'!$E$100)*1000</f>
        <v>2845000</v>
      </c>
      <c r="X19" s="686">
        <f>('[5]segmenty 3 m-ce'!$E$115)*1000</f>
        <v>1098000</v>
      </c>
      <c r="Y19" s="686">
        <f>('[5]segmenty 3 m-ce'!$E$112)*1000</f>
        <v>763000</v>
      </c>
      <c r="Z19" s="686">
        <f t="shared" si="40"/>
        <v>24194000</v>
      </c>
      <c r="AB19" s="686">
        <f>6116000-583000</f>
        <v>5533000</v>
      </c>
      <c r="AC19" s="686">
        <f>2328000-583000</f>
        <v>1745000</v>
      </c>
      <c r="AD19" s="686">
        <f>1679000-583000</f>
        <v>1096000</v>
      </c>
      <c r="AE19" s="686">
        <v>24194000</v>
      </c>
      <c r="AG19" s="686">
        <f>2789000+3000</f>
        <v>2792000</v>
      </c>
      <c r="AH19" s="686">
        <f>1042000+3000</f>
        <v>1045000</v>
      </c>
      <c r="AI19" s="686">
        <f>712000+3000</f>
        <v>715000</v>
      </c>
      <c r="AJ19" s="686">
        <f t="shared" si="41"/>
        <v>24194000</v>
      </c>
      <c r="AL19" s="686">
        <f>[6]segmenty!$D$47*1000-586000</f>
        <v>2741000</v>
      </c>
      <c r="AM19" s="686">
        <f>[6]segmenty!$D$72*1000-586000</f>
        <v>700000</v>
      </c>
      <c r="AN19" s="686">
        <f>[6]segmenty!$D$69*1000-1000-586000</f>
        <v>381000</v>
      </c>
      <c r="AO19" s="686">
        <f>[6]segmenty!$D$63*1000</f>
        <v>24189000</v>
      </c>
      <c r="AQ19" s="686">
        <f>([7]segmenty!$D$48)*1000</f>
        <v>7611000</v>
      </c>
      <c r="AR19" s="686">
        <f>([7]segmenty!$D$73)*1000</f>
        <v>2939000</v>
      </c>
      <c r="AS19" s="686">
        <f>([7]segmenty!$D$70)*1000</f>
        <v>1679000</v>
      </c>
      <c r="AT19" s="686">
        <f>([7]segmenty!$D$64)*1000</f>
        <v>22174000</v>
      </c>
      <c r="AV19" s="686">
        <f t="shared" si="42"/>
        <v>1880000</v>
      </c>
      <c r="AW19" s="686">
        <f t="shared" si="42"/>
        <v>590000</v>
      </c>
      <c r="AX19" s="686">
        <f t="shared" si="42"/>
        <v>264000</v>
      </c>
      <c r="AY19" s="686">
        <f t="shared" si="43"/>
        <v>22174000</v>
      </c>
      <c r="BA19" s="686">
        <f>([8]segmenty!$D$48)*1000</f>
        <v>5731000</v>
      </c>
      <c r="BB19" s="686">
        <f>([8]segmenty!$D$73)*1000</f>
        <v>2349000</v>
      </c>
      <c r="BC19" s="686">
        <f>([8]segmenty!$D$70)*1000</f>
        <v>1415000</v>
      </c>
      <c r="BD19" s="686">
        <f>([8]segmenty!$D$64)*1000</f>
        <v>22174000</v>
      </c>
      <c r="BF19" s="686">
        <f>('[8]segmenty 3 m-ce PREZ'!$D$39)*1000</f>
        <v>1812000</v>
      </c>
      <c r="BG19" s="686">
        <f>('[8]segmenty 3 m-ce PREZ'!$D$46)*1000</f>
        <v>640000</v>
      </c>
      <c r="BH19" s="686">
        <f>('[8]segmenty 3 m-ce PREZ'!$D$42)*1000</f>
        <v>323000</v>
      </c>
      <c r="BI19" s="686">
        <f t="shared" si="44"/>
        <v>22174000</v>
      </c>
      <c r="BK19" s="686">
        <f>([9]segmenty!$D$48)*1000</f>
        <v>3919000</v>
      </c>
      <c r="BL19" s="686">
        <f>([9]segmenty!$D$72)*1000</f>
        <v>1709000</v>
      </c>
      <c r="BM19" s="686">
        <f>([9]segmenty!$D$69)*1000</f>
        <v>1092000</v>
      </c>
      <c r="BN19" s="686">
        <f>([9]segmenty!$D$63)*1000</f>
        <v>22174000</v>
      </c>
      <c r="BP19" s="686">
        <f>('[9]segmenty 3 m-ce'!$D$101)*1000</f>
        <v>1896000</v>
      </c>
      <c r="BQ19" s="686">
        <f>('[9]segmenty 3 m-ce'!$D$115)*1000</f>
        <v>845000</v>
      </c>
      <c r="BR19" s="686">
        <f>('[9]segmenty 3 m-ce'!$D$112)*1000</f>
        <v>531000</v>
      </c>
      <c r="BS19" s="686">
        <f t="shared" si="45"/>
        <v>22174000</v>
      </c>
      <c r="BU19" s="686">
        <f>[10]segmenty!$D$48*1000</f>
        <v>2023000</v>
      </c>
      <c r="BV19" s="686">
        <f>[10]segmenty!$D$71*1000</f>
        <v>864000</v>
      </c>
      <c r="BW19" s="686">
        <f>[10]segmenty!$D$69*1000</f>
        <v>561000</v>
      </c>
      <c r="BX19" s="686">
        <f>[10]segmenty!$D$63*1000</f>
        <v>22174000</v>
      </c>
      <c r="BZ19" s="686">
        <f t="shared" si="46"/>
        <v>1838000</v>
      </c>
      <c r="CA19" s="686">
        <f t="shared" si="46"/>
        <v>717000</v>
      </c>
      <c r="CB19" s="686">
        <f t="shared" si="46"/>
        <v>410000</v>
      </c>
      <c r="CC19" s="686">
        <f t="shared" si="47"/>
        <v>21117000</v>
      </c>
      <c r="CE19" s="686">
        <v>7099000</v>
      </c>
      <c r="CF19" s="686">
        <v>2967000</v>
      </c>
      <c r="CG19" s="686">
        <v>1767000</v>
      </c>
      <c r="CH19" s="686">
        <v>21117000</v>
      </c>
      <c r="CJ19" s="467">
        <v>1742000</v>
      </c>
      <c r="CK19" s="467">
        <v>731000</v>
      </c>
      <c r="CL19" s="467">
        <v>433000</v>
      </c>
      <c r="CM19" s="467">
        <f t="shared" si="25"/>
        <v>21117000</v>
      </c>
      <c r="CO19" s="467">
        <v>5261000</v>
      </c>
      <c r="CP19" s="467">
        <v>2250000</v>
      </c>
      <c r="CQ19" s="467">
        <v>1357000</v>
      </c>
      <c r="CR19" s="467">
        <v>21117000</v>
      </c>
      <c r="CT19" s="467">
        <f t="shared" si="26"/>
        <v>1713000</v>
      </c>
      <c r="CU19" s="467">
        <f t="shared" si="26"/>
        <v>778000</v>
      </c>
      <c r="CV19" s="467">
        <f t="shared" si="26"/>
        <v>479000</v>
      </c>
      <c r="CW19" s="467">
        <v>21117000</v>
      </c>
      <c r="CY19" s="467">
        <v>3519000</v>
      </c>
      <c r="CZ19" s="467">
        <v>1519000</v>
      </c>
      <c r="DA19" s="467">
        <v>924000</v>
      </c>
      <c r="DB19" s="467">
        <v>21117000</v>
      </c>
      <c r="DD19" s="467">
        <v>1806000</v>
      </c>
      <c r="DE19" s="467">
        <v>741000</v>
      </c>
      <c r="DF19" s="467">
        <v>445000</v>
      </c>
      <c r="DG19" s="467">
        <v>21117000</v>
      </c>
      <c r="DI19" s="467">
        <f t="shared" si="27"/>
        <v>1787223</v>
      </c>
      <c r="DJ19" s="467">
        <f t="shared" si="27"/>
        <v>606124</v>
      </c>
      <c r="DK19" s="467">
        <f t="shared" si="27"/>
        <v>305504</v>
      </c>
      <c r="DL19" s="467">
        <f t="shared" si="28"/>
        <v>20079000</v>
      </c>
      <c r="DN19" s="467">
        <v>6866000</v>
      </c>
      <c r="DO19" s="467">
        <v>3023000</v>
      </c>
      <c r="DP19" s="467">
        <v>1857000</v>
      </c>
      <c r="DQ19" s="467">
        <v>20079000</v>
      </c>
      <c r="DS19" s="467">
        <f t="shared" si="29"/>
        <v>1720223</v>
      </c>
      <c r="DT19" s="467">
        <f t="shared" si="29"/>
        <v>728175</v>
      </c>
      <c r="DU19" s="467">
        <f t="shared" si="29"/>
        <v>436050</v>
      </c>
      <c r="DV19" s="467">
        <f t="shared" si="30"/>
        <v>20079215</v>
      </c>
      <c r="DX19" s="467">
        <v>5078777</v>
      </c>
      <c r="DY19" s="467">
        <v>2416876</v>
      </c>
      <c r="DZ19" s="467">
        <v>1551496</v>
      </c>
      <c r="EA19" s="467">
        <v>20079215</v>
      </c>
      <c r="EC19" s="467">
        <f t="shared" si="31"/>
        <v>1569529</v>
      </c>
      <c r="ED19" s="467">
        <f t="shared" si="31"/>
        <v>1005158</v>
      </c>
      <c r="EE19" s="467">
        <f t="shared" si="31"/>
        <v>715011</v>
      </c>
      <c r="EF19" s="467">
        <f t="shared" si="32"/>
        <v>20079215</v>
      </c>
      <c r="EH19" s="467">
        <v>3358554</v>
      </c>
      <c r="EI19" s="467">
        <v>1688701</v>
      </c>
      <c r="EJ19" s="467">
        <v>1115446</v>
      </c>
      <c r="EK19" s="467">
        <v>20079215</v>
      </c>
      <c r="EM19" s="467">
        <v>1789025</v>
      </c>
      <c r="EN19" s="467">
        <v>683543</v>
      </c>
      <c r="EO19" s="467">
        <v>400435</v>
      </c>
      <c r="EP19" s="467">
        <v>20079215</v>
      </c>
      <c r="ER19" s="467">
        <f t="shared" si="33"/>
        <v>1696579</v>
      </c>
      <c r="ES19" s="467">
        <f t="shared" si="33"/>
        <v>585541</v>
      </c>
      <c r="ET19" s="467">
        <f t="shared" si="33"/>
        <v>292644</v>
      </c>
      <c r="EU19" s="467">
        <f t="shared" si="34"/>
        <v>19176164</v>
      </c>
      <c r="EW19" s="467">
        <v>6594864</v>
      </c>
      <c r="EX19" s="467">
        <v>2605808</v>
      </c>
      <c r="EY19" s="467">
        <v>1443741</v>
      </c>
      <c r="EZ19" s="467">
        <v>19176164</v>
      </c>
      <c r="FB19" s="467">
        <v>1622943</v>
      </c>
      <c r="FC19" s="467">
        <v>662963</v>
      </c>
      <c r="FD19" s="467">
        <v>373021</v>
      </c>
      <c r="FE19" s="467">
        <f t="shared" si="35"/>
        <v>19176164</v>
      </c>
      <c r="FG19" s="467">
        <v>4898285</v>
      </c>
      <c r="FH19" s="467">
        <v>2020267</v>
      </c>
      <c r="FI19" s="467">
        <v>1151097</v>
      </c>
      <c r="FJ19" s="467">
        <v>19176164</v>
      </c>
      <c r="FL19" s="464">
        <f t="shared" si="36"/>
        <v>1594121</v>
      </c>
      <c r="FM19" s="465">
        <f t="shared" si="36"/>
        <v>656334</v>
      </c>
      <c r="FN19" s="464">
        <f t="shared" si="36"/>
        <v>374556</v>
      </c>
      <c r="FO19" s="464">
        <v>19176164</v>
      </c>
      <c r="FQ19" s="464">
        <v>3275342</v>
      </c>
      <c r="FR19" s="465">
        <v>1357304</v>
      </c>
      <c r="FS19" s="464">
        <v>778076</v>
      </c>
      <c r="FT19" s="464">
        <v>19176164</v>
      </c>
      <c r="FV19" s="464">
        <v>1681221</v>
      </c>
      <c r="FW19" s="465">
        <v>700970</v>
      </c>
      <c r="FX19" s="464">
        <v>403520</v>
      </c>
      <c r="FY19" s="464">
        <v>19176164</v>
      </c>
      <c r="FZ19" s="5"/>
      <c r="GA19" s="144">
        <v>6060201</v>
      </c>
      <c r="GB19" s="346">
        <v>2465537</v>
      </c>
      <c r="GC19" s="144">
        <v>1391155</v>
      </c>
      <c r="GD19" s="144">
        <v>17923661</v>
      </c>
      <c r="GF19" s="144">
        <v>1573539</v>
      </c>
      <c r="GG19" s="346">
        <v>549667</v>
      </c>
      <c r="GH19" s="144">
        <v>269983</v>
      </c>
      <c r="GI19" s="144">
        <v>17923661</v>
      </c>
      <c r="GK19" s="144">
        <v>4486662</v>
      </c>
      <c r="GL19" s="346">
        <v>1915870</v>
      </c>
      <c r="GM19" s="144">
        <v>1121172</v>
      </c>
      <c r="GN19" s="144">
        <v>17923661</v>
      </c>
      <c r="GP19" s="144">
        <v>1462463</v>
      </c>
      <c r="GQ19" s="346">
        <v>608204</v>
      </c>
      <c r="GR19" s="144">
        <v>338355</v>
      </c>
      <c r="GS19" s="144">
        <v>17923661</v>
      </c>
      <c r="GV19" s="144">
        <v>3024199</v>
      </c>
      <c r="GW19" s="346">
        <v>1307666</v>
      </c>
      <c r="GX19" s="144">
        <v>782817</v>
      </c>
      <c r="GY19" s="144">
        <v>17923661</v>
      </c>
      <c r="HA19" s="144">
        <v>1453332</v>
      </c>
      <c r="HB19" s="346">
        <v>679813</v>
      </c>
      <c r="HC19" s="144">
        <v>414167</v>
      </c>
      <c r="HD19" s="144">
        <v>17923661</v>
      </c>
      <c r="HF19" s="144">
        <v>1570867</v>
      </c>
      <c r="HG19" s="346">
        <v>627853</v>
      </c>
      <c r="HH19" s="144">
        <v>368650</v>
      </c>
      <c r="HI19" s="144">
        <v>17923661</v>
      </c>
      <c r="HK19" s="144">
        <v>6719943</v>
      </c>
      <c r="HL19" s="346">
        <v>2282685</v>
      </c>
      <c r="HM19" s="144">
        <v>1210925</v>
      </c>
      <c r="HN19" s="144">
        <v>17409160</v>
      </c>
      <c r="HP19" s="341">
        <v>1733033</v>
      </c>
      <c r="HQ19" s="342">
        <v>488087</v>
      </c>
      <c r="HR19" s="341">
        <v>212156</v>
      </c>
      <c r="HS19" s="341">
        <v>17409160</v>
      </c>
      <c r="HU19" s="144">
        <v>4986910</v>
      </c>
      <c r="HV19" s="346">
        <v>1794598</v>
      </c>
      <c r="HW19" s="144">
        <v>998769</v>
      </c>
      <c r="HX19" s="144">
        <v>17409160</v>
      </c>
      <c r="HZ19" s="144">
        <v>1618916</v>
      </c>
      <c r="IA19" s="346">
        <v>591288</v>
      </c>
      <c r="IB19" s="144">
        <v>321449</v>
      </c>
      <c r="IC19" s="144">
        <v>17409160</v>
      </c>
      <c r="IE19" s="156">
        <v>3367994</v>
      </c>
      <c r="IF19" s="183">
        <v>1203310</v>
      </c>
      <c r="IG19" s="156">
        <v>677320</v>
      </c>
      <c r="IH19" s="156">
        <v>17409160</v>
      </c>
      <c r="IJ19" s="156">
        <v>331709</v>
      </c>
      <c r="IK19" s="183">
        <v>596299</v>
      </c>
      <c r="IL19" s="156">
        <v>331709</v>
      </c>
      <c r="IM19" s="156">
        <v>17409160</v>
      </c>
      <c r="IO19" s="156">
        <v>1733421</v>
      </c>
      <c r="IP19" s="183">
        <v>607011</v>
      </c>
      <c r="IQ19" s="156">
        <v>345611</v>
      </c>
      <c r="IR19" s="156">
        <v>17409160</v>
      </c>
      <c r="IT19" s="156">
        <v>6310216</v>
      </c>
      <c r="IU19" s="156">
        <v>2394812</v>
      </c>
      <c r="IV19" s="156">
        <v>1363236</v>
      </c>
      <c r="IW19" s="156">
        <v>16761938</v>
      </c>
      <c r="IY19" s="156">
        <v>1634118</v>
      </c>
      <c r="IZ19" s="183">
        <v>685152</v>
      </c>
      <c r="JA19" s="156">
        <v>416722</v>
      </c>
      <c r="JB19" s="156">
        <v>16761938</v>
      </c>
      <c r="JC19" s="157"/>
      <c r="JD19" s="156">
        <v>4676098</v>
      </c>
      <c r="JE19" s="156">
        <v>1709660</v>
      </c>
      <c r="JF19" s="156">
        <v>946514</v>
      </c>
      <c r="JG19" s="156">
        <v>16761938</v>
      </c>
      <c r="JH19" s="156"/>
      <c r="JI19" s="156">
        <v>1531592</v>
      </c>
      <c r="JJ19" s="156">
        <v>562063</v>
      </c>
      <c r="JK19" s="156">
        <v>302990</v>
      </c>
      <c r="JL19" s="156">
        <v>16761938</v>
      </c>
      <c r="JM19" s="157"/>
      <c r="JN19" s="156">
        <v>3144506</v>
      </c>
      <c r="JO19" s="156">
        <v>1147597</v>
      </c>
      <c r="JP19" s="156">
        <v>643524</v>
      </c>
      <c r="JQ19" s="156">
        <v>16761938</v>
      </c>
      <c r="JR19" s="157"/>
      <c r="JS19" s="156">
        <f t="shared" si="37"/>
        <v>1528119</v>
      </c>
      <c r="JT19" s="156">
        <f t="shared" si="37"/>
        <v>604338</v>
      </c>
      <c r="JU19" s="156">
        <f t="shared" si="37"/>
        <v>351932</v>
      </c>
      <c r="JV19" s="156">
        <f>KA19</f>
        <v>16761938</v>
      </c>
      <c r="JW19" s="157"/>
      <c r="JX19" s="156">
        <v>1616387</v>
      </c>
      <c r="JY19" s="156">
        <v>543259</v>
      </c>
      <c r="JZ19" s="156">
        <v>291592</v>
      </c>
      <c r="KA19" s="156">
        <v>16761938</v>
      </c>
      <c r="KB19" s="157"/>
      <c r="KC19" s="156">
        <v>6450274</v>
      </c>
      <c r="KD19" s="156">
        <v>2372129</v>
      </c>
      <c r="KE19" s="156">
        <v>1371577</v>
      </c>
      <c r="KF19" s="156">
        <v>15974893</v>
      </c>
      <c r="KG19" s="157"/>
      <c r="KH19" s="156">
        <v>1657399</v>
      </c>
      <c r="KI19" s="156">
        <v>532836</v>
      </c>
      <c r="KJ19" s="156">
        <v>264854</v>
      </c>
      <c r="KK19" s="156">
        <v>15974893</v>
      </c>
      <c r="KL19" s="157"/>
      <c r="KM19" s="156">
        <v>4792875</v>
      </c>
      <c r="KN19" s="156">
        <v>1839293</v>
      </c>
      <c r="KO19" s="156">
        <v>1106723</v>
      </c>
      <c r="KP19" s="156">
        <v>15974893</v>
      </c>
      <c r="KQ19" s="157"/>
      <c r="KR19" s="156">
        <v>1564518</v>
      </c>
      <c r="KS19" s="156">
        <v>596633</v>
      </c>
      <c r="KT19" s="156">
        <v>348307</v>
      </c>
      <c r="KU19" s="156">
        <v>15974893</v>
      </c>
      <c r="KV19" s="157"/>
      <c r="KW19" s="156">
        <v>3228357</v>
      </c>
      <c r="KX19" s="156">
        <v>1242660</v>
      </c>
      <c r="KY19" s="156">
        <v>758416</v>
      </c>
      <c r="KZ19" s="156">
        <v>15974893</v>
      </c>
      <c r="LA19" s="157"/>
      <c r="LB19" s="156">
        <v>1585385</v>
      </c>
      <c r="LC19" s="156">
        <v>696000</v>
      </c>
      <c r="LD19" s="156">
        <v>453363</v>
      </c>
      <c r="LE19" s="156">
        <v>15974893</v>
      </c>
      <c r="LF19" s="157"/>
      <c r="LG19" s="156">
        <v>1642972</v>
      </c>
      <c r="LH19" s="156">
        <v>546660</v>
      </c>
      <c r="LI19" s="156">
        <v>305053</v>
      </c>
      <c r="LJ19" s="156">
        <v>15974893</v>
      </c>
      <c r="LK19" s="157"/>
      <c r="LL19" s="156">
        <v>6074646</v>
      </c>
      <c r="LM19" s="156">
        <v>2172288</v>
      </c>
      <c r="LN19" s="156">
        <v>1209344</v>
      </c>
      <c r="LO19" s="156">
        <v>15012125</v>
      </c>
      <c r="LP19" s="163"/>
      <c r="LQ19" s="156">
        <v>1545835</v>
      </c>
      <c r="LR19" s="156">
        <v>394396</v>
      </c>
      <c r="LS19" s="156">
        <v>138507</v>
      </c>
      <c r="LT19" s="156">
        <v>15012125</v>
      </c>
      <c r="LU19" s="163"/>
      <c r="LV19" s="156">
        <v>4528811</v>
      </c>
      <c r="LW19" s="156">
        <v>1777892</v>
      </c>
      <c r="LX19" s="156">
        <v>1070837</v>
      </c>
      <c r="LY19" s="156">
        <v>15012125</v>
      </c>
      <c r="LZ19" s="157"/>
      <c r="MA19" s="156">
        <v>1479860</v>
      </c>
      <c r="MB19" s="156">
        <v>608152</v>
      </c>
      <c r="MC19" s="156">
        <v>370825</v>
      </c>
      <c r="MD19" s="156">
        <v>15012125</v>
      </c>
      <c r="ME19" s="157"/>
      <c r="MF19" s="156">
        <v>3048951</v>
      </c>
      <c r="MG19" s="156">
        <v>1169688</v>
      </c>
      <c r="MH19" s="156">
        <v>700012</v>
      </c>
      <c r="MI19" s="156">
        <v>15012125</v>
      </c>
      <c r="MJ19" s="157"/>
      <c r="MK19" s="156">
        <v>1490614</v>
      </c>
      <c r="ML19" s="156">
        <v>612000</v>
      </c>
      <c r="MM19" s="156">
        <v>376007</v>
      </c>
      <c r="MN19" s="156">
        <v>15012125</v>
      </c>
      <c r="MO19" s="157"/>
      <c r="MP19" s="156">
        <v>1558337</v>
      </c>
      <c r="MQ19" s="156">
        <v>557688</v>
      </c>
      <c r="MR19" s="156">
        <v>324005</v>
      </c>
      <c r="MS19" s="156">
        <v>15012125</v>
      </c>
      <c r="MT19" s="157"/>
      <c r="MU19" s="178" t="s">
        <v>372</v>
      </c>
      <c r="MV19" s="179" t="s">
        <v>180</v>
      </c>
      <c r="MW19" s="160" t="s">
        <v>91</v>
      </c>
      <c r="MX19" s="160" t="s">
        <v>92</v>
      </c>
      <c r="MY19" s="160" t="s">
        <v>181</v>
      </c>
      <c r="MZ19" s="157"/>
      <c r="NA19" s="179" t="s">
        <v>370</v>
      </c>
      <c r="NB19" s="160" t="s">
        <v>98</v>
      </c>
      <c r="NC19" s="160" t="s">
        <v>103</v>
      </c>
      <c r="ND19" s="160" t="s">
        <v>192</v>
      </c>
      <c r="NE19" s="157"/>
      <c r="NF19" s="160" t="s">
        <v>194</v>
      </c>
      <c r="NG19" s="160" t="s">
        <v>101</v>
      </c>
      <c r="NH19" s="160" t="s">
        <v>102</v>
      </c>
      <c r="NI19" s="179" t="s">
        <v>197</v>
      </c>
      <c r="NJ19" s="157"/>
      <c r="NK19" s="157"/>
      <c r="NL19" s="157"/>
      <c r="NM19" s="157"/>
      <c r="NN19" s="157"/>
      <c r="NO19" s="157"/>
      <c r="NP19" s="157"/>
      <c r="NQ19" s="157"/>
      <c r="NR19" s="157"/>
      <c r="NS19" s="157"/>
      <c r="NT19" s="157"/>
      <c r="NU19" s="157"/>
      <c r="NV19" s="157"/>
      <c r="NW19" s="157"/>
      <c r="NX19" s="157"/>
      <c r="NY19" s="157"/>
      <c r="NZ19" s="157"/>
      <c r="OA19" s="157"/>
      <c r="OB19" s="157"/>
      <c r="OC19" s="157"/>
      <c r="OD19" s="157"/>
      <c r="OE19" s="157"/>
      <c r="OF19" s="157"/>
      <c r="OG19" s="157"/>
      <c r="OH19" s="157"/>
      <c r="OI19" s="157"/>
      <c r="OJ19" s="157"/>
      <c r="OK19" s="157"/>
      <c r="OL19" s="157"/>
      <c r="OM19" s="157"/>
      <c r="ON19" s="157"/>
      <c r="OO19" s="157"/>
      <c r="OP19" s="157"/>
      <c r="OQ19" s="157"/>
      <c r="OR19" s="157"/>
      <c r="OS19" s="157"/>
      <c r="OT19" s="157"/>
      <c r="OU19" s="157"/>
      <c r="OV19" s="157"/>
      <c r="OW19" s="157"/>
      <c r="OX19" s="157"/>
      <c r="OY19" s="157"/>
      <c r="OZ19" s="157"/>
      <c r="PA19" s="157"/>
    </row>
    <row r="20" spans="1:417">
      <c r="A20" s="59" t="s">
        <v>79</v>
      </c>
      <c r="C20" s="686">
        <f>([3]segmenty!$F$47)*1000</f>
        <v>6802000</v>
      </c>
      <c r="D20" s="686">
        <f>([3]segmenty!$F$72)*1000</f>
        <v>273000</v>
      </c>
      <c r="E20" s="686">
        <f>([3]segmenty!$F$69)*1000</f>
        <v>272000</v>
      </c>
      <c r="F20" s="686">
        <f>([3]segmenty!$F$63)*1000</f>
        <v>4445000</v>
      </c>
      <c r="H20" s="686">
        <f>([4]segmenty!$F$47)*1000</f>
        <v>35188000</v>
      </c>
      <c r="I20" s="686">
        <f>([4]segmenty!$F$72)*1000</f>
        <v>454000</v>
      </c>
      <c r="J20" s="686">
        <f>([4]segmenty!$F$69)*1000</f>
        <v>409000</v>
      </c>
      <c r="K20" s="686">
        <f>([4]segmenty!$F$63)*1000</f>
        <v>7921000</v>
      </c>
      <c r="M20" s="686">
        <f t="shared" si="48"/>
        <v>9124000</v>
      </c>
      <c r="N20" s="686">
        <f t="shared" si="38"/>
        <v>17000</v>
      </c>
      <c r="O20" s="686">
        <f t="shared" si="38"/>
        <v>14000</v>
      </c>
      <c r="P20" s="686">
        <f t="shared" si="39"/>
        <v>7921000</v>
      </c>
      <c r="R20" s="686">
        <f>([5]segmenty!$F$47)*1000-598000</f>
        <v>26064000</v>
      </c>
      <c r="S20" s="686">
        <f>([5]segmenty!$F$72)*1000-15000</f>
        <v>437000</v>
      </c>
      <c r="T20" s="686">
        <f>([5]segmenty!$F$69)*1000-15000</f>
        <v>395000</v>
      </c>
      <c r="U20" s="686">
        <f>([5]segmenty!$F$63)*1000</f>
        <v>8581000</v>
      </c>
      <c r="W20" s="686">
        <f>('[5]segmenty 3 m-ce'!$F$100)*1000-27000</f>
        <v>6332000</v>
      </c>
      <c r="X20" s="686">
        <f>('[5]segmenty 3 m-ce'!$F$115)*1000-27000</f>
        <v>-119000</v>
      </c>
      <c r="Y20" s="686">
        <f>('[5]segmenty 3 m-ce'!$F$112)*1000-27000</f>
        <v>-132000</v>
      </c>
      <c r="Z20" s="686">
        <f t="shared" si="40"/>
        <v>8581000</v>
      </c>
      <c r="AB20" s="686">
        <f>20303000-571000</f>
        <v>19732000</v>
      </c>
      <c r="AC20" s="686">
        <f>544000+12000</f>
        <v>556000</v>
      </c>
      <c r="AD20" s="686">
        <f>515000+12000</f>
        <v>527000</v>
      </c>
      <c r="AE20" s="686">
        <v>8581000</v>
      </c>
      <c r="AG20" s="686">
        <f>8670000+106000</f>
        <v>8776000</v>
      </c>
      <c r="AH20" s="686">
        <f>400000+103000</f>
        <v>503000</v>
      </c>
      <c r="AI20" s="686">
        <f>384000+103000</f>
        <v>487000</v>
      </c>
      <c r="AJ20" s="686">
        <f t="shared" si="41"/>
        <v>8581000</v>
      </c>
      <c r="AL20" s="686">
        <f>[6]segmenty!$E$47*1000-599000-677000</f>
        <v>10956000</v>
      </c>
      <c r="AM20" s="686">
        <f>[6]segmenty!$E$72*1000-1000-91000</f>
        <v>53000</v>
      </c>
      <c r="AN20" s="686">
        <f>[6]segmenty!$E$69*1000-1000-91000</f>
        <v>40000</v>
      </c>
      <c r="AO20" s="686">
        <f>[6]segmenty!$E$63*1000</f>
        <v>8550000</v>
      </c>
      <c r="AQ20" s="686">
        <f>([7]segmenty!$E$48)*1000</f>
        <v>35491000</v>
      </c>
      <c r="AR20" s="686">
        <f>([7]segmenty!$E$73)*1000</f>
        <v>594000</v>
      </c>
      <c r="AS20" s="686">
        <f>([7]segmenty!$E$70)*1000</f>
        <v>550000</v>
      </c>
      <c r="AT20" s="686">
        <f>([7]segmenty!$E$64)*1000</f>
        <v>6701000</v>
      </c>
      <c r="AV20" s="686">
        <f t="shared" si="42"/>
        <v>9180000</v>
      </c>
      <c r="AW20" s="686">
        <f t="shared" si="42"/>
        <v>85000</v>
      </c>
      <c r="AX20" s="686">
        <f t="shared" si="42"/>
        <v>74000</v>
      </c>
      <c r="AY20" s="686">
        <f t="shared" si="43"/>
        <v>6701000</v>
      </c>
      <c r="BA20" s="686">
        <f>([8]segmenty!$E$48)*1000</f>
        <v>26311000</v>
      </c>
      <c r="BB20" s="686">
        <f>([8]segmenty!$E$73)*1000</f>
        <v>509000</v>
      </c>
      <c r="BC20" s="686">
        <f>([8]segmenty!$E$70)*1000</f>
        <v>476000</v>
      </c>
      <c r="BD20" s="686">
        <f>([8]segmenty!$E$64)*1000</f>
        <v>6701000</v>
      </c>
      <c r="BF20" s="686">
        <f>('[8]segmenty 3 m-ce PREZ'!$E$39)*1000</f>
        <v>8058000</v>
      </c>
      <c r="BG20" s="686">
        <f>('[8]segmenty 3 m-ce PREZ'!$E$46)*1000</f>
        <v>468000</v>
      </c>
      <c r="BH20" s="686">
        <f>('[8]segmenty 3 m-ce PREZ'!$E$42)*1000</f>
        <v>457000</v>
      </c>
      <c r="BI20" s="686">
        <f t="shared" si="44"/>
        <v>6701000</v>
      </c>
      <c r="BK20" s="686">
        <f>([9]segmenty!$E$48)*1000</f>
        <v>18257000</v>
      </c>
      <c r="BL20" s="686">
        <f>([9]segmenty!$E$72)*1000</f>
        <v>41000</v>
      </c>
      <c r="BM20" s="686">
        <f>([9]segmenty!$E$69)*1000</f>
        <v>19000</v>
      </c>
      <c r="BN20" s="686">
        <f>([9]segmenty!$E$63)*1000</f>
        <v>6701000</v>
      </c>
      <c r="BP20" s="686">
        <f>('[9]segmenty 3 m-ce'!$E$101)*1000</f>
        <v>7670000</v>
      </c>
      <c r="BQ20" s="686">
        <f>('[9]segmenty 3 m-ce'!$E$115)*1000</f>
        <v>144000</v>
      </c>
      <c r="BR20" s="686">
        <f>('[9]segmenty 3 m-ce'!$E$112)*1000</f>
        <v>132000</v>
      </c>
      <c r="BS20" s="686">
        <f t="shared" si="45"/>
        <v>6701000</v>
      </c>
      <c r="BU20" s="686">
        <f>[10]segmenty!$E$48*1000</f>
        <v>10587000</v>
      </c>
      <c r="BV20" s="686">
        <f>[10]segmenty!$E$71*1000</f>
        <v>-103000</v>
      </c>
      <c r="BW20" s="686">
        <f>[10]segmenty!$E$69*1000</f>
        <v>-113000</v>
      </c>
      <c r="BX20" s="686">
        <f>[10]segmenty!$E$63*1000</f>
        <v>6701000</v>
      </c>
      <c r="BZ20" s="686">
        <f t="shared" si="46"/>
        <v>7796000</v>
      </c>
      <c r="CA20" s="686">
        <f t="shared" si="46"/>
        <v>-502000</v>
      </c>
      <c r="CB20" s="686">
        <f t="shared" si="46"/>
        <v>-511000</v>
      </c>
      <c r="CC20" s="686">
        <f t="shared" si="47"/>
        <v>4508000</v>
      </c>
      <c r="CE20" s="686">
        <v>24134000</v>
      </c>
      <c r="CF20" s="686">
        <v>-524000</v>
      </c>
      <c r="CG20" s="686">
        <v>-564000</v>
      </c>
      <c r="CH20" s="686">
        <v>4508000</v>
      </c>
      <c r="CJ20" s="467">
        <v>5613000</v>
      </c>
      <c r="CK20" s="467">
        <v>-259000</v>
      </c>
      <c r="CL20" s="467">
        <v>-270000</v>
      </c>
      <c r="CM20" s="467">
        <f t="shared" si="25"/>
        <v>4508000</v>
      </c>
      <c r="CO20" s="467">
        <v>16338000</v>
      </c>
      <c r="CP20" s="467">
        <v>-22000</v>
      </c>
      <c r="CQ20" s="467">
        <v>-53000</v>
      </c>
      <c r="CR20" s="467">
        <v>4508000</v>
      </c>
      <c r="CT20" s="467">
        <f t="shared" si="26"/>
        <v>4645000</v>
      </c>
      <c r="CU20" s="467">
        <f t="shared" si="26"/>
        <v>3000</v>
      </c>
      <c r="CV20" s="467">
        <f t="shared" si="26"/>
        <v>-7000</v>
      </c>
      <c r="CW20" s="467">
        <v>4508000</v>
      </c>
      <c r="CY20" s="467">
        <v>10725000</v>
      </c>
      <c r="CZ20" s="467">
        <v>237000</v>
      </c>
      <c r="DA20" s="467">
        <v>217000</v>
      </c>
      <c r="DB20" s="467">
        <v>4508000</v>
      </c>
      <c r="DD20" s="467">
        <v>6080000</v>
      </c>
      <c r="DE20" s="467">
        <v>234000</v>
      </c>
      <c r="DF20" s="467">
        <v>224000</v>
      </c>
      <c r="DG20" s="467">
        <v>4508000</v>
      </c>
      <c r="DI20" s="467">
        <f t="shared" si="27"/>
        <v>5099406</v>
      </c>
      <c r="DJ20" s="467">
        <f t="shared" si="27"/>
        <v>42457</v>
      </c>
      <c r="DK20" s="467">
        <f t="shared" si="27"/>
        <v>34599</v>
      </c>
      <c r="DL20" s="467">
        <f t="shared" si="28"/>
        <v>4614000</v>
      </c>
      <c r="DN20" s="467">
        <v>17250000</v>
      </c>
      <c r="DO20" s="467">
        <v>683000</v>
      </c>
      <c r="DP20" s="467">
        <v>642000</v>
      </c>
      <c r="DQ20" s="467">
        <v>4614000</v>
      </c>
      <c r="DS20" s="467">
        <f t="shared" si="29"/>
        <v>4136093</v>
      </c>
      <c r="DT20" s="467">
        <f t="shared" si="29"/>
        <v>237639</v>
      </c>
      <c r="DU20" s="467">
        <f t="shared" si="29"/>
        <v>228215</v>
      </c>
      <c r="DV20" s="467">
        <f t="shared" si="30"/>
        <v>4614093</v>
      </c>
      <c r="DX20" s="467">
        <v>12150594</v>
      </c>
      <c r="DY20" s="467">
        <v>640543</v>
      </c>
      <c r="DZ20" s="467">
        <v>607401</v>
      </c>
      <c r="EA20" s="467">
        <v>4614093</v>
      </c>
      <c r="EC20" s="467">
        <f t="shared" si="31"/>
        <v>3783659</v>
      </c>
      <c r="ED20" s="467">
        <f t="shared" si="31"/>
        <v>220472</v>
      </c>
      <c r="EE20" s="467">
        <f t="shared" si="31"/>
        <v>208415</v>
      </c>
      <c r="EF20" s="467">
        <f t="shared" si="32"/>
        <v>4614093</v>
      </c>
      <c r="EH20" s="467">
        <v>8014501</v>
      </c>
      <c r="EI20" s="467">
        <v>402904</v>
      </c>
      <c r="EJ20" s="467">
        <v>379186</v>
      </c>
      <c r="EK20" s="467">
        <v>4614093</v>
      </c>
      <c r="EM20" s="467">
        <v>4230842</v>
      </c>
      <c r="EN20" s="467">
        <v>182432</v>
      </c>
      <c r="EO20" s="467">
        <v>170771</v>
      </c>
      <c r="EP20" s="467">
        <v>4614093</v>
      </c>
      <c r="ER20" s="467">
        <f t="shared" si="33"/>
        <v>4508216</v>
      </c>
      <c r="ES20" s="467">
        <f t="shared" si="33"/>
        <v>-105072</v>
      </c>
      <c r="ET20" s="467">
        <f t="shared" si="33"/>
        <v>-121577</v>
      </c>
      <c r="EU20" s="467">
        <f t="shared" si="34"/>
        <v>4730135</v>
      </c>
      <c r="EW20" s="467">
        <v>14907937</v>
      </c>
      <c r="EX20" s="467">
        <v>428577</v>
      </c>
      <c r="EY20" s="467">
        <v>382185</v>
      </c>
      <c r="EZ20" s="467">
        <v>4730135</v>
      </c>
      <c r="FB20" s="467">
        <v>3474928</v>
      </c>
      <c r="FC20" s="467">
        <v>110407</v>
      </c>
      <c r="FD20" s="467">
        <v>100132</v>
      </c>
      <c r="FE20" s="467">
        <f t="shared" si="35"/>
        <v>4730135</v>
      </c>
      <c r="FG20" s="467">
        <v>10399721</v>
      </c>
      <c r="FH20" s="467">
        <v>533649</v>
      </c>
      <c r="FI20" s="467">
        <v>503762</v>
      </c>
      <c r="FJ20" s="467">
        <v>4730135</v>
      </c>
      <c r="FL20" s="464">
        <f t="shared" si="36"/>
        <v>3013371</v>
      </c>
      <c r="FM20" s="465">
        <f t="shared" si="36"/>
        <v>258311</v>
      </c>
      <c r="FN20" s="464">
        <f t="shared" si="36"/>
        <v>248406</v>
      </c>
      <c r="FO20" s="464">
        <v>4730135</v>
      </c>
      <c r="FQ20" s="464">
        <v>6924793</v>
      </c>
      <c r="FR20" s="465">
        <v>423242</v>
      </c>
      <c r="FS20" s="464">
        <v>403630</v>
      </c>
      <c r="FT20" s="464">
        <v>4730135</v>
      </c>
      <c r="FV20" s="464">
        <v>3911422</v>
      </c>
      <c r="FW20" s="465">
        <v>164931</v>
      </c>
      <c r="FX20" s="464">
        <v>155224</v>
      </c>
      <c r="FY20" s="464">
        <v>4730135</v>
      </c>
      <c r="FZ20" s="5"/>
      <c r="GA20" s="144">
        <v>14219677</v>
      </c>
      <c r="GB20" s="346">
        <v>372471</v>
      </c>
      <c r="GC20" s="144">
        <v>332428</v>
      </c>
      <c r="GD20" s="144">
        <v>3801630</v>
      </c>
      <c r="GF20" s="144">
        <v>4289264</v>
      </c>
      <c r="GG20" s="346">
        <v>-119249</v>
      </c>
      <c r="GH20" s="144">
        <v>-135387</v>
      </c>
      <c r="GI20" s="144">
        <v>3801630</v>
      </c>
      <c r="GK20" s="144">
        <v>9930413</v>
      </c>
      <c r="GL20" s="346">
        <v>491720</v>
      </c>
      <c r="GM20" s="144">
        <v>467815</v>
      </c>
      <c r="GN20" s="144">
        <v>3801630</v>
      </c>
      <c r="GP20" s="144">
        <v>3448489</v>
      </c>
      <c r="GQ20" s="346">
        <v>137215</v>
      </c>
      <c r="GR20" s="144">
        <v>131621</v>
      </c>
      <c r="GS20" s="144">
        <v>3801630</v>
      </c>
      <c r="GV20" s="144">
        <v>6481924</v>
      </c>
      <c r="GW20" s="346">
        <v>354505</v>
      </c>
      <c r="GX20" s="144">
        <v>336194</v>
      </c>
      <c r="GY20" s="144">
        <v>3801630</v>
      </c>
      <c r="HA20" s="144">
        <v>3097600</v>
      </c>
      <c r="HB20" s="346">
        <v>166457</v>
      </c>
      <c r="HC20" s="144">
        <v>157497</v>
      </c>
      <c r="HD20" s="144">
        <v>3801630</v>
      </c>
      <c r="HF20" s="144">
        <v>3384324</v>
      </c>
      <c r="HG20" s="346">
        <v>188048</v>
      </c>
      <c r="HH20" s="144">
        <v>178697</v>
      </c>
      <c r="HI20" s="144">
        <v>3801630</v>
      </c>
      <c r="HK20" s="144">
        <v>13567887</v>
      </c>
      <c r="HL20" s="346">
        <v>841222</v>
      </c>
      <c r="HM20" s="144">
        <v>832216</v>
      </c>
      <c r="HN20" s="144">
        <v>3090248</v>
      </c>
      <c r="HP20" s="341">
        <v>3760678</v>
      </c>
      <c r="HQ20" s="342">
        <v>150244</v>
      </c>
      <c r="HR20" s="341">
        <v>148297</v>
      </c>
      <c r="HS20" s="341">
        <v>3090248</v>
      </c>
      <c r="HU20" s="144">
        <v>9807209</v>
      </c>
      <c r="HV20" s="346">
        <v>690978</v>
      </c>
      <c r="HW20" s="144">
        <v>683919</v>
      </c>
      <c r="HX20" s="144">
        <v>3090248</v>
      </c>
      <c r="HZ20" s="144">
        <v>3130213</v>
      </c>
      <c r="IA20" s="346">
        <v>145582</v>
      </c>
      <c r="IB20" s="144">
        <v>143502</v>
      </c>
      <c r="IC20" s="144">
        <v>3090248</v>
      </c>
      <c r="IE20" s="156">
        <v>6676996</v>
      </c>
      <c r="IF20" s="183">
        <v>545396</v>
      </c>
      <c r="IG20" s="156">
        <v>540417</v>
      </c>
      <c r="IH20" s="156">
        <v>3090248</v>
      </c>
      <c r="IJ20" s="156">
        <v>163143</v>
      </c>
      <c r="IK20" s="183">
        <v>165425</v>
      </c>
      <c r="IL20" s="156">
        <v>163143</v>
      </c>
      <c r="IM20" s="156">
        <v>3090248</v>
      </c>
      <c r="IO20" s="156">
        <v>3617437</v>
      </c>
      <c r="IP20" s="183">
        <v>379971</v>
      </c>
      <c r="IQ20" s="156">
        <v>377274</v>
      </c>
      <c r="IR20" s="156">
        <v>3090248</v>
      </c>
      <c r="IT20" s="156">
        <v>14016190</v>
      </c>
      <c r="IU20" s="156">
        <v>490005</v>
      </c>
      <c r="IV20" s="156">
        <v>479374</v>
      </c>
      <c r="IW20" s="156">
        <v>2659458</v>
      </c>
      <c r="IY20" s="156">
        <v>3861362</v>
      </c>
      <c r="IZ20" s="183">
        <v>89872</v>
      </c>
      <c r="JA20" s="156">
        <v>87549</v>
      </c>
      <c r="JB20" s="156">
        <v>2659458</v>
      </c>
      <c r="JC20" s="157"/>
      <c r="JD20" s="156">
        <v>10154828</v>
      </c>
      <c r="JE20" s="156">
        <v>400133</v>
      </c>
      <c r="JF20" s="156">
        <v>391825</v>
      </c>
      <c r="JG20" s="156">
        <v>2659458</v>
      </c>
      <c r="JH20" s="156"/>
      <c r="JI20" s="156">
        <v>3269473</v>
      </c>
      <c r="JJ20" s="156">
        <v>110560</v>
      </c>
      <c r="JK20" s="156">
        <v>108166</v>
      </c>
      <c r="JL20" s="156">
        <v>2659458</v>
      </c>
      <c r="JM20" s="157"/>
      <c r="JN20" s="156">
        <v>6885355</v>
      </c>
      <c r="JO20" s="156">
        <v>289573</v>
      </c>
      <c r="JP20" s="156">
        <v>283659</v>
      </c>
      <c r="JQ20" s="156">
        <v>2659458</v>
      </c>
      <c r="JR20" s="157"/>
      <c r="JS20" s="156">
        <f t="shared" si="37"/>
        <v>3376697</v>
      </c>
      <c r="JT20" s="156">
        <f t="shared" si="37"/>
        <v>121613</v>
      </c>
      <c r="JU20" s="156">
        <f t="shared" si="37"/>
        <v>122240</v>
      </c>
      <c r="JV20" s="156">
        <f>KA20</f>
        <v>2659458</v>
      </c>
      <c r="JW20" s="157"/>
      <c r="JX20" s="156">
        <v>3508658</v>
      </c>
      <c r="JY20" s="156">
        <v>167960</v>
      </c>
      <c r="JZ20" s="156">
        <v>161419</v>
      </c>
      <c r="KA20" s="156">
        <v>2659458</v>
      </c>
      <c r="KB20" s="157"/>
      <c r="KC20" s="156">
        <v>15873355</v>
      </c>
      <c r="KD20" s="156">
        <v>380405</v>
      </c>
      <c r="KE20" s="156">
        <v>369529</v>
      </c>
      <c r="KF20" s="156">
        <v>2709132</v>
      </c>
      <c r="KG20" s="157"/>
      <c r="KH20" s="156">
        <v>4060202</v>
      </c>
      <c r="KI20" s="156">
        <v>-71530</v>
      </c>
      <c r="KJ20" s="156">
        <v>-74268</v>
      </c>
      <c r="KK20" s="156">
        <v>2709132</v>
      </c>
      <c r="KL20" s="157"/>
      <c r="KM20" s="156">
        <v>11813153</v>
      </c>
      <c r="KN20" s="156">
        <v>451935</v>
      </c>
      <c r="KO20" s="156">
        <v>443797</v>
      </c>
      <c r="KP20" s="156">
        <v>2706907</v>
      </c>
      <c r="KQ20" s="157"/>
      <c r="KR20" s="156">
        <v>3719173</v>
      </c>
      <c r="KS20" s="156">
        <v>116782</v>
      </c>
      <c r="KT20" s="156">
        <v>114042</v>
      </c>
      <c r="KU20" s="156">
        <v>2706907</v>
      </c>
      <c r="KV20" s="157"/>
      <c r="KW20" s="156">
        <v>8093980</v>
      </c>
      <c r="KX20" s="156">
        <v>335153</v>
      </c>
      <c r="KY20" s="156">
        <v>329755</v>
      </c>
      <c r="KZ20" s="156">
        <v>2706907</v>
      </c>
      <c r="LA20" s="157"/>
      <c r="LB20" s="156">
        <v>3915698</v>
      </c>
      <c r="LC20" s="156">
        <v>141382</v>
      </c>
      <c r="LD20" s="156">
        <v>138710</v>
      </c>
      <c r="LE20" s="156">
        <v>2706907</v>
      </c>
      <c r="LF20" s="157"/>
      <c r="LG20" s="156">
        <v>4178282</v>
      </c>
      <c r="LH20" s="156">
        <v>193771</v>
      </c>
      <c r="LI20" s="156">
        <v>191045</v>
      </c>
      <c r="LJ20" s="156">
        <v>2706907</v>
      </c>
      <c r="LK20" s="157"/>
      <c r="LL20" s="156">
        <v>15277451</v>
      </c>
      <c r="LM20" s="156">
        <v>608213</v>
      </c>
      <c r="LN20" s="156">
        <v>582307</v>
      </c>
      <c r="LO20" s="156">
        <v>3715551</v>
      </c>
      <c r="LP20" s="163"/>
      <c r="LQ20" s="156">
        <v>4010459</v>
      </c>
      <c r="LR20" s="156">
        <v>106749</v>
      </c>
      <c r="LS20" s="156">
        <v>103508</v>
      </c>
      <c r="LT20" s="156">
        <v>3715551</v>
      </c>
      <c r="LU20" s="163"/>
      <c r="LV20" s="156">
        <v>11266992</v>
      </c>
      <c r="LW20" s="156">
        <v>501464</v>
      </c>
      <c r="LX20" s="156">
        <v>478799</v>
      </c>
      <c r="LY20" s="156">
        <v>3715551</v>
      </c>
      <c r="LZ20" s="157"/>
      <c r="MA20" s="156">
        <v>3691883</v>
      </c>
      <c r="MB20" s="156">
        <v>109830</v>
      </c>
      <c r="MC20" s="156">
        <v>105291</v>
      </c>
      <c r="MD20" s="156">
        <v>3715551</v>
      </c>
      <c r="ME20" s="157"/>
      <c r="MF20" s="156">
        <v>7575109</v>
      </c>
      <c r="MG20" s="156">
        <v>391634</v>
      </c>
      <c r="MH20" s="156">
        <v>373508</v>
      </c>
      <c r="MI20" s="156">
        <v>3715551</v>
      </c>
      <c r="MJ20" s="157"/>
      <c r="MK20" s="156">
        <v>3479108</v>
      </c>
      <c r="ML20" s="156">
        <v>153290</v>
      </c>
      <c r="MM20" s="156">
        <v>144543</v>
      </c>
      <c r="MN20" s="156">
        <v>3715551</v>
      </c>
      <c r="MO20" s="157"/>
      <c r="MP20" s="156">
        <v>4096001</v>
      </c>
      <c r="MQ20" s="156">
        <v>238344</v>
      </c>
      <c r="MR20" s="156">
        <v>228965</v>
      </c>
      <c r="MS20" s="156">
        <v>3715551</v>
      </c>
      <c r="MT20" s="157"/>
      <c r="MU20" s="164" t="s">
        <v>81</v>
      </c>
      <c r="MV20" s="162">
        <v>1397506</v>
      </c>
      <c r="MW20" s="162">
        <v>165783</v>
      </c>
      <c r="MX20" s="162">
        <v>65786</v>
      </c>
      <c r="MY20" s="162">
        <v>1465831</v>
      </c>
      <c r="MZ20" s="157"/>
      <c r="NA20" s="162">
        <v>1092570</v>
      </c>
      <c r="NB20" s="162">
        <v>168014</v>
      </c>
      <c r="NC20" s="162">
        <v>88794</v>
      </c>
      <c r="ND20" s="162">
        <v>1465831</v>
      </c>
      <c r="NE20" s="157"/>
      <c r="NF20" s="162">
        <v>748322</v>
      </c>
      <c r="NG20" s="162">
        <v>137404</v>
      </c>
      <c r="NH20" s="162">
        <v>84452</v>
      </c>
      <c r="NI20" s="162">
        <v>1465831</v>
      </c>
      <c r="NJ20" s="157"/>
      <c r="NK20" s="157"/>
      <c r="NL20" s="157"/>
      <c r="NM20" s="157"/>
      <c r="NN20" s="157"/>
      <c r="NO20" s="157"/>
      <c r="NP20" s="157"/>
      <c r="NQ20" s="157"/>
      <c r="NR20" s="157"/>
      <c r="NS20" s="157"/>
      <c r="NT20" s="157"/>
      <c r="NU20" s="157"/>
      <c r="NV20" s="157"/>
      <c r="NW20" s="157"/>
      <c r="NX20" s="157"/>
      <c r="NY20" s="157"/>
      <c r="NZ20" s="157"/>
      <c r="OA20" s="157"/>
      <c r="OB20" s="157"/>
      <c r="OC20" s="157"/>
      <c r="OD20" s="157"/>
      <c r="OE20" s="157"/>
      <c r="OF20" s="157"/>
      <c r="OG20" s="157"/>
      <c r="OH20" s="157"/>
      <c r="OI20" s="157"/>
      <c r="OJ20" s="157"/>
      <c r="OK20" s="157"/>
      <c r="OL20" s="157"/>
      <c r="OM20" s="157"/>
      <c r="ON20" s="157"/>
      <c r="OO20" s="157"/>
      <c r="OP20" s="157"/>
      <c r="OQ20" s="157"/>
      <c r="OR20" s="157"/>
      <c r="OS20" s="157"/>
      <c r="OT20" s="157"/>
      <c r="OU20" s="157"/>
      <c r="OV20" s="157"/>
      <c r="OW20" s="157"/>
      <c r="OX20" s="157"/>
      <c r="OY20" s="157"/>
      <c r="OZ20" s="157"/>
      <c r="PA20" s="157"/>
    </row>
    <row r="21" spans="1:417">
      <c r="A21" s="59" t="s">
        <v>80</v>
      </c>
      <c r="C21" s="686">
        <f>([3]segmenty!$G$47)*1000</f>
        <v>372000</v>
      </c>
      <c r="D21" s="686">
        <f>([3]segmenty!$G$72)*1000</f>
        <v>113000</v>
      </c>
      <c r="E21" s="686">
        <f>([3]segmenty!$G$69)*1000</f>
        <v>43000</v>
      </c>
      <c r="F21" s="686">
        <f>([3]segmenty!$G$63)*1000</f>
        <v>1897000</v>
      </c>
      <c r="H21" s="686">
        <f>([4]segmenty!$G$47)*1000</f>
        <v>1118000</v>
      </c>
      <c r="I21" s="686">
        <f>([4]segmenty!$G$72)*1000</f>
        <v>257000</v>
      </c>
      <c r="J21" s="686">
        <f>([4]segmenty!$G$69)*1000</f>
        <v>82000</v>
      </c>
      <c r="K21" s="686">
        <f>([4]segmenty!$G$63)*1000</f>
        <v>1291000</v>
      </c>
      <c r="M21" s="686">
        <f t="shared" si="48"/>
        <v>334000</v>
      </c>
      <c r="N21" s="686">
        <f t="shared" si="38"/>
        <v>97000</v>
      </c>
      <c r="O21" s="686">
        <f t="shared" si="38"/>
        <v>50000</v>
      </c>
      <c r="P21" s="686">
        <f t="shared" si="39"/>
        <v>1291000</v>
      </c>
      <c r="R21" s="686">
        <f>([5]segmenty!$G$47)*1000</f>
        <v>784000</v>
      </c>
      <c r="S21" s="686">
        <f>([5]segmenty!$G$72)*1000</f>
        <v>160000</v>
      </c>
      <c r="T21" s="686">
        <f>([5]segmenty!$G$69)*1000</f>
        <v>32000</v>
      </c>
      <c r="U21" s="686">
        <f>([5]segmenty!$G$63)*1000</f>
        <v>1291000</v>
      </c>
      <c r="W21" s="686">
        <f>('[5]segmenty 3 m-ce'!$G$100)*1000</f>
        <v>267000</v>
      </c>
      <c r="X21" s="686">
        <f>('[5]segmenty 3 m-ce'!$G$115)*1000</f>
        <v>46000</v>
      </c>
      <c r="Y21" s="686">
        <f>('[5]segmenty 3 m-ce'!$G$112)*1000</f>
        <v>1000</v>
      </c>
      <c r="Z21" s="686">
        <f t="shared" si="40"/>
        <v>1291000</v>
      </c>
      <c r="AB21" s="686">
        <v>517000</v>
      </c>
      <c r="AC21" s="686">
        <v>114000</v>
      </c>
      <c r="AD21" s="686">
        <v>31000</v>
      </c>
      <c r="AE21" s="686">
        <v>1291000</v>
      </c>
      <c r="AG21" s="686">
        <v>258000</v>
      </c>
      <c r="AH21" s="686">
        <v>48000</v>
      </c>
      <c r="AI21" s="686">
        <v>7000</v>
      </c>
      <c r="AJ21" s="686">
        <f t="shared" si="41"/>
        <v>1291000</v>
      </c>
      <c r="AL21" s="686">
        <f>[6]segmenty!$F$47*1000-127000</f>
        <v>259000</v>
      </c>
      <c r="AM21" s="686">
        <f>[6]segmenty!$F$72*1000-4000</f>
        <v>66000</v>
      </c>
      <c r="AN21" s="686">
        <f>[6]segmenty!$F$69*1000-3000</f>
        <v>24000</v>
      </c>
      <c r="AO21" s="686">
        <f>[6]segmenty!$F$63*1000</f>
        <v>1317000</v>
      </c>
      <c r="AQ21" s="686">
        <f>([7]segmenty!$F$48)*1000</f>
        <v>1428000</v>
      </c>
      <c r="AR21" s="686">
        <f>([7]segmenty!$F$73)*1000</f>
        <v>298000</v>
      </c>
      <c r="AS21" s="686">
        <f>([7]segmenty!$F$70)*1000</f>
        <v>163000</v>
      </c>
      <c r="AT21" s="686">
        <f>([7]segmenty!$F$64)*1000</f>
        <v>1156000</v>
      </c>
      <c r="AV21" s="686">
        <f t="shared" si="42"/>
        <v>373000</v>
      </c>
      <c r="AW21" s="686">
        <f t="shared" si="42"/>
        <v>129000</v>
      </c>
      <c r="AX21" s="686">
        <f t="shared" si="42"/>
        <v>92000</v>
      </c>
      <c r="AY21" s="686">
        <f t="shared" si="43"/>
        <v>1156000</v>
      </c>
      <c r="BA21" s="686">
        <f>([8]segmenty!$F$48)*1000</f>
        <v>1055000</v>
      </c>
      <c r="BB21" s="686">
        <f>([8]segmenty!$F$73)*1000</f>
        <v>169000</v>
      </c>
      <c r="BC21" s="686">
        <f>([8]segmenty!$F$70)*1000</f>
        <v>71000</v>
      </c>
      <c r="BD21" s="686">
        <f>([8]segmenty!$F$64)*1000</f>
        <v>1156000</v>
      </c>
      <c r="BF21" s="686">
        <f>('[8]segmenty 3 m-ce PREZ'!$F$39)*1000</f>
        <v>351000</v>
      </c>
      <c r="BG21" s="686">
        <f>('[8]segmenty 3 m-ce PREZ'!$F$46)*1000</f>
        <v>44000</v>
      </c>
      <c r="BH21" s="686">
        <f>('[8]segmenty 3 m-ce PREZ'!$F$42)*1000</f>
        <v>12000</v>
      </c>
      <c r="BI21" s="686">
        <f t="shared" si="44"/>
        <v>1156000</v>
      </c>
      <c r="BK21" s="686">
        <f>([9]segmenty!$F$48)*1000</f>
        <v>704000</v>
      </c>
      <c r="BL21" s="686">
        <f>([9]segmenty!$F$72)*1000</f>
        <v>125000</v>
      </c>
      <c r="BM21" s="686">
        <f>([9]segmenty!$F$69)*1000</f>
        <v>59000</v>
      </c>
      <c r="BN21" s="686">
        <f>([9]segmenty!$F$63)*1000</f>
        <v>1156000</v>
      </c>
      <c r="BP21" s="686">
        <f>('[9]segmenty 3 m-ce'!$F$101)*1000</f>
        <v>345000</v>
      </c>
      <c r="BQ21" s="686">
        <f>('[9]segmenty 3 m-ce'!$F$115)*1000</f>
        <v>65000</v>
      </c>
      <c r="BR21" s="686">
        <f>('[9]segmenty 3 m-ce'!$F$112)*1000</f>
        <v>30000</v>
      </c>
      <c r="BS21" s="686">
        <f t="shared" si="45"/>
        <v>1156000</v>
      </c>
      <c r="BU21" s="686">
        <f>[10]segmenty!$F$48*1000</f>
        <v>359000</v>
      </c>
      <c r="BV21" s="686">
        <f>[10]segmenty!$F$71*1000</f>
        <v>60000</v>
      </c>
      <c r="BW21" s="686">
        <f>[10]segmenty!$F$69*1000</f>
        <v>29000</v>
      </c>
      <c r="BX21" s="686">
        <f>[10]segmenty!$F$63*1000</f>
        <v>1156000</v>
      </c>
      <c r="BZ21" s="686">
        <f t="shared" si="46"/>
        <v>337000</v>
      </c>
      <c r="CA21" s="686">
        <f t="shared" si="46"/>
        <v>58000</v>
      </c>
      <c r="CB21" s="686">
        <f t="shared" si="46"/>
        <v>24000</v>
      </c>
      <c r="CC21" s="686">
        <f t="shared" si="47"/>
        <v>891000</v>
      </c>
      <c r="CE21" s="686">
        <v>1177000</v>
      </c>
      <c r="CF21" s="686">
        <v>208000</v>
      </c>
      <c r="CG21" s="686">
        <v>92000</v>
      </c>
      <c r="CH21" s="686">
        <v>891000</v>
      </c>
      <c r="CJ21" s="467">
        <v>281000</v>
      </c>
      <c r="CK21" s="467">
        <v>43000</v>
      </c>
      <c r="CL21" s="467">
        <v>16000</v>
      </c>
      <c r="CM21" s="467">
        <f t="shared" si="25"/>
        <v>891000</v>
      </c>
      <c r="CO21" s="467">
        <v>840000</v>
      </c>
      <c r="CP21" s="467">
        <v>150000</v>
      </c>
      <c r="CQ21" s="467">
        <v>68000</v>
      </c>
      <c r="CR21" s="467">
        <v>891000</v>
      </c>
      <c r="CT21" s="467">
        <f t="shared" si="26"/>
        <v>272000</v>
      </c>
      <c r="CU21" s="467">
        <f t="shared" si="26"/>
        <v>57000</v>
      </c>
      <c r="CV21" s="467">
        <f t="shared" si="26"/>
        <v>28000</v>
      </c>
      <c r="CW21" s="467">
        <v>891000</v>
      </c>
      <c r="CY21" s="467">
        <v>559000</v>
      </c>
      <c r="CZ21" s="467">
        <v>107000</v>
      </c>
      <c r="DA21" s="467">
        <v>52000</v>
      </c>
      <c r="DB21" s="467">
        <v>891000</v>
      </c>
      <c r="DD21" s="467">
        <v>287000</v>
      </c>
      <c r="DE21" s="467">
        <v>50000</v>
      </c>
      <c r="DF21" s="467">
        <v>24000</v>
      </c>
      <c r="DG21" s="467">
        <v>891000</v>
      </c>
      <c r="DI21" s="467">
        <f t="shared" si="27"/>
        <v>291958</v>
      </c>
      <c r="DJ21" s="467">
        <f t="shared" si="27"/>
        <v>17556</v>
      </c>
      <c r="DK21" s="467">
        <f t="shared" si="27"/>
        <v>-6636</v>
      </c>
      <c r="DL21" s="467">
        <f t="shared" si="28"/>
        <v>776000</v>
      </c>
      <c r="DN21" s="467">
        <v>1114000</v>
      </c>
      <c r="DO21" s="467">
        <v>229000</v>
      </c>
      <c r="DP21" s="467">
        <v>136000</v>
      </c>
      <c r="DQ21" s="467">
        <v>776000</v>
      </c>
      <c r="DS21" s="467">
        <f t="shared" si="29"/>
        <v>286091</v>
      </c>
      <c r="DT21" s="467">
        <f t="shared" si="29"/>
        <v>49068</v>
      </c>
      <c r="DU21" s="467">
        <f t="shared" si="29"/>
        <v>24446</v>
      </c>
      <c r="DV21" s="467">
        <f t="shared" si="30"/>
        <v>775856</v>
      </c>
      <c r="DX21" s="467">
        <v>822042</v>
      </c>
      <c r="DY21" s="467">
        <v>211444</v>
      </c>
      <c r="DZ21" s="467">
        <v>142636</v>
      </c>
      <c r="EA21" s="467">
        <v>775856</v>
      </c>
      <c r="EC21" s="467">
        <f t="shared" si="31"/>
        <v>273482</v>
      </c>
      <c r="ED21" s="467">
        <f t="shared" si="31"/>
        <v>123596</v>
      </c>
      <c r="EE21" s="467">
        <f t="shared" si="31"/>
        <v>100460</v>
      </c>
      <c r="EF21" s="467">
        <f t="shared" si="32"/>
        <v>775856</v>
      </c>
      <c r="EH21" s="467">
        <v>535951</v>
      </c>
      <c r="EI21" s="467">
        <v>162376</v>
      </c>
      <c r="EJ21" s="467">
        <v>118190</v>
      </c>
      <c r="EK21" s="467">
        <v>775856</v>
      </c>
      <c r="EM21" s="467">
        <v>262469</v>
      </c>
      <c r="EN21" s="467">
        <v>38780</v>
      </c>
      <c r="EO21" s="467">
        <v>17730</v>
      </c>
      <c r="EP21" s="467">
        <v>775856</v>
      </c>
      <c r="ER21" s="467">
        <f t="shared" si="33"/>
        <v>247939</v>
      </c>
      <c r="ES21" s="467">
        <f t="shared" si="33"/>
        <v>8695</v>
      </c>
      <c r="ET21" s="467">
        <f t="shared" si="33"/>
        <v>-13448</v>
      </c>
      <c r="EU21" s="467">
        <f t="shared" si="34"/>
        <v>648705</v>
      </c>
      <c r="EW21" s="467">
        <v>979911</v>
      </c>
      <c r="EX21" s="467">
        <v>136186</v>
      </c>
      <c r="EY21" s="467">
        <v>46152</v>
      </c>
      <c r="EZ21" s="467">
        <v>648705</v>
      </c>
      <c r="FB21" s="467">
        <v>249043</v>
      </c>
      <c r="FC21" s="467">
        <v>43029</v>
      </c>
      <c r="FD21" s="467">
        <v>20235</v>
      </c>
      <c r="FE21" s="467">
        <f t="shared" si="35"/>
        <v>648705</v>
      </c>
      <c r="FG21" s="467">
        <v>731972</v>
      </c>
      <c r="FH21" s="467">
        <v>127491</v>
      </c>
      <c r="FI21" s="467">
        <v>59600</v>
      </c>
      <c r="FJ21" s="467">
        <v>648705</v>
      </c>
      <c r="FL21" s="464">
        <f t="shared" si="36"/>
        <v>234413</v>
      </c>
      <c r="FM21" s="465">
        <f t="shared" si="36"/>
        <v>40018</v>
      </c>
      <c r="FN21" s="464">
        <f t="shared" si="36"/>
        <v>17339</v>
      </c>
      <c r="FO21" s="464">
        <v>648705</v>
      </c>
      <c r="FQ21" s="464">
        <v>482929</v>
      </c>
      <c r="FR21" s="465">
        <v>84462</v>
      </c>
      <c r="FS21" s="464">
        <v>39365</v>
      </c>
      <c r="FT21" s="464">
        <v>648705</v>
      </c>
      <c r="FV21" s="464">
        <v>248516</v>
      </c>
      <c r="FW21" s="465">
        <v>44444</v>
      </c>
      <c r="FX21" s="464">
        <v>22026</v>
      </c>
      <c r="FY21" s="464">
        <v>648705</v>
      </c>
      <c r="FZ21" s="5"/>
      <c r="GA21" s="144">
        <v>857462</v>
      </c>
      <c r="GB21" s="346">
        <v>135032</v>
      </c>
      <c r="GC21" s="144">
        <v>46023</v>
      </c>
      <c r="GD21" s="144">
        <v>581497</v>
      </c>
      <c r="GF21" s="144">
        <v>240979</v>
      </c>
      <c r="GG21" s="346">
        <v>4784</v>
      </c>
      <c r="GH21" s="144">
        <v>-16871</v>
      </c>
      <c r="GI21" s="144">
        <v>581497</v>
      </c>
      <c r="GK21" s="144">
        <v>616483</v>
      </c>
      <c r="GL21" s="346">
        <v>130248</v>
      </c>
      <c r="GM21" s="144">
        <v>62894</v>
      </c>
      <c r="GN21" s="144">
        <v>581497</v>
      </c>
      <c r="GP21" s="144">
        <v>201877</v>
      </c>
      <c r="GQ21" s="346">
        <v>41536</v>
      </c>
      <c r="GR21" s="144">
        <v>18622</v>
      </c>
      <c r="GS21" s="144">
        <v>581497</v>
      </c>
      <c r="GV21" s="144">
        <v>414606</v>
      </c>
      <c r="GW21" s="346">
        <v>88712</v>
      </c>
      <c r="GX21" s="144">
        <v>44272</v>
      </c>
      <c r="GY21" s="144">
        <v>581497</v>
      </c>
      <c r="HA21" s="144">
        <v>219053</v>
      </c>
      <c r="HB21" s="346">
        <v>49009</v>
      </c>
      <c r="HC21" s="144">
        <v>25412</v>
      </c>
      <c r="HD21" s="144">
        <v>581497</v>
      </c>
      <c r="HF21" s="144">
        <v>195553</v>
      </c>
      <c r="HG21" s="346">
        <v>39703</v>
      </c>
      <c r="HH21" s="144">
        <v>18860</v>
      </c>
      <c r="HI21" s="144">
        <v>581497</v>
      </c>
      <c r="HK21" s="144">
        <v>804560</v>
      </c>
      <c r="HL21" s="346">
        <v>118043</v>
      </c>
      <c r="HM21" s="144">
        <v>35902</v>
      </c>
      <c r="HN21" s="144">
        <v>508825</v>
      </c>
      <c r="HP21" s="341">
        <v>206198</v>
      </c>
      <c r="HQ21" s="342">
        <v>3431</v>
      </c>
      <c r="HR21" s="341">
        <v>-19915</v>
      </c>
      <c r="HS21" s="341">
        <v>508825</v>
      </c>
      <c r="HU21" s="144">
        <v>598362</v>
      </c>
      <c r="HV21" s="346">
        <v>114612</v>
      </c>
      <c r="HW21" s="144">
        <v>55817</v>
      </c>
      <c r="HX21" s="144">
        <v>508825</v>
      </c>
      <c r="HZ21" s="144">
        <v>205774</v>
      </c>
      <c r="IA21" s="346">
        <v>37977</v>
      </c>
      <c r="IB21" s="144">
        <v>17870</v>
      </c>
      <c r="IC21" s="144">
        <v>508825</v>
      </c>
      <c r="IE21" s="156">
        <v>392588</v>
      </c>
      <c r="IF21" s="183">
        <v>76635</v>
      </c>
      <c r="IG21" s="156">
        <v>37947</v>
      </c>
      <c r="IH21" s="156">
        <v>508825</v>
      </c>
      <c r="IJ21" s="156">
        <v>21212</v>
      </c>
      <c r="IK21" s="183">
        <v>40909</v>
      </c>
      <c r="IL21" s="156">
        <v>21212</v>
      </c>
      <c r="IM21" s="156">
        <v>508825</v>
      </c>
      <c r="IO21" s="156">
        <v>194781</v>
      </c>
      <c r="IP21" s="183">
        <v>35726</v>
      </c>
      <c r="IQ21" s="156">
        <v>16735</v>
      </c>
      <c r="IR21" s="156">
        <v>508825</v>
      </c>
      <c r="IT21" s="156">
        <v>827928</v>
      </c>
      <c r="IU21" s="156">
        <v>114570</v>
      </c>
      <c r="IV21" s="156">
        <v>42642</v>
      </c>
      <c r="IW21" s="156">
        <v>468202</v>
      </c>
      <c r="IY21" s="156">
        <v>211032</v>
      </c>
      <c r="IZ21" s="183">
        <v>12302</v>
      </c>
      <c r="JA21" s="156">
        <v>-5504</v>
      </c>
      <c r="JB21" s="156">
        <v>468202</v>
      </c>
      <c r="JC21" s="157"/>
      <c r="JD21" s="156">
        <v>616896</v>
      </c>
      <c r="JE21" s="156">
        <v>102268</v>
      </c>
      <c r="JF21" s="156">
        <v>48146</v>
      </c>
      <c r="JG21" s="156">
        <v>468202</v>
      </c>
      <c r="JH21" s="156"/>
      <c r="JI21" s="156">
        <v>188053</v>
      </c>
      <c r="JJ21" s="156">
        <v>36232</v>
      </c>
      <c r="JK21" s="156">
        <v>18324</v>
      </c>
      <c r="JL21" s="156">
        <v>468202</v>
      </c>
      <c r="JM21" s="157"/>
      <c r="JN21" s="156">
        <v>428843</v>
      </c>
      <c r="JO21" s="156">
        <v>66036</v>
      </c>
      <c r="JP21" s="156">
        <v>29822</v>
      </c>
      <c r="JQ21" s="156">
        <v>468202</v>
      </c>
      <c r="JR21" s="157"/>
      <c r="JS21" s="156">
        <f t="shared" si="37"/>
        <v>211401</v>
      </c>
      <c r="JT21" s="156">
        <f t="shared" si="37"/>
        <v>35550</v>
      </c>
      <c r="JU21" s="156">
        <f t="shared" si="37"/>
        <v>17383</v>
      </c>
      <c r="JV21" s="156">
        <f>KA21</f>
        <v>468202</v>
      </c>
      <c r="JW21" s="157"/>
      <c r="JX21" s="156">
        <v>217442</v>
      </c>
      <c r="JY21" s="156">
        <v>30486</v>
      </c>
      <c r="JZ21" s="156">
        <v>12439</v>
      </c>
      <c r="KA21" s="156">
        <v>468202</v>
      </c>
      <c r="KB21" s="157"/>
      <c r="KC21" s="156">
        <v>927953</v>
      </c>
      <c r="KD21" s="156">
        <v>100320</v>
      </c>
      <c r="KE21" s="156">
        <v>32596</v>
      </c>
      <c r="KF21" s="156">
        <v>478618</v>
      </c>
      <c r="KG21" s="157"/>
      <c r="KH21" s="156">
        <v>225159</v>
      </c>
      <c r="KI21" s="156">
        <v>2137</v>
      </c>
      <c r="KJ21" s="156">
        <v>-15376</v>
      </c>
      <c r="KK21" s="156">
        <v>478618</v>
      </c>
      <c r="KL21" s="157"/>
      <c r="KM21" s="156">
        <v>702794</v>
      </c>
      <c r="KN21" s="156">
        <v>98183</v>
      </c>
      <c r="KO21" s="156">
        <v>47972</v>
      </c>
      <c r="KP21" s="156">
        <v>478618</v>
      </c>
      <c r="KQ21" s="157"/>
      <c r="KR21" s="156">
        <v>199648</v>
      </c>
      <c r="KS21" s="156">
        <v>37188</v>
      </c>
      <c r="KT21" s="156">
        <v>20076</v>
      </c>
      <c r="KU21" s="156">
        <v>478618</v>
      </c>
      <c r="KV21" s="157"/>
      <c r="KW21" s="156">
        <v>503146</v>
      </c>
      <c r="KX21" s="156">
        <v>60995</v>
      </c>
      <c r="KY21" s="156">
        <v>27896</v>
      </c>
      <c r="KZ21" s="156">
        <v>478618</v>
      </c>
      <c r="LA21" s="157"/>
      <c r="LB21" s="156">
        <v>239006</v>
      </c>
      <c r="LC21" s="156">
        <v>17622</v>
      </c>
      <c r="LD21" s="156">
        <v>789</v>
      </c>
      <c r="LE21" s="156">
        <v>478618</v>
      </c>
      <c r="LF21" s="157"/>
      <c r="LG21" s="156">
        <v>264140</v>
      </c>
      <c r="LH21" s="156">
        <v>43373</v>
      </c>
      <c r="LI21" s="156">
        <v>27107</v>
      </c>
      <c r="LJ21" s="156">
        <v>478618</v>
      </c>
      <c r="LK21" s="157"/>
      <c r="LL21" s="156">
        <v>870035</v>
      </c>
      <c r="LM21" s="156">
        <v>106215</v>
      </c>
      <c r="LN21" s="156">
        <v>56593</v>
      </c>
      <c r="LO21" s="156">
        <v>459596</v>
      </c>
      <c r="LP21" s="163"/>
      <c r="LQ21" s="156">
        <v>210812.29391999985</v>
      </c>
      <c r="LR21" s="156">
        <v>-3324</v>
      </c>
      <c r="LS21" s="156">
        <v>-17508</v>
      </c>
      <c r="LT21" s="156">
        <v>459596</v>
      </c>
      <c r="LU21" s="163"/>
      <c r="LV21" s="156">
        <v>659222.70608000015</v>
      </c>
      <c r="LW21" s="156">
        <v>109539</v>
      </c>
      <c r="LX21" s="156">
        <v>74101</v>
      </c>
      <c r="LY21" s="156">
        <v>459596</v>
      </c>
      <c r="LZ21" s="157"/>
      <c r="MA21" s="156">
        <v>233888.70608000015</v>
      </c>
      <c r="MB21" s="156">
        <v>42296</v>
      </c>
      <c r="MC21" s="156">
        <v>28734</v>
      </c>
      <c r="MD21" s="156">
        <v>459596</v>
      </c>
      <c r="ME21" s="157"/>
      <c r="MF21" s="156">
        <v>425334.29366000002</v>
      </c>
      <c r="MG21" s="156">
        <v>67238</v>
      </c>
      <c r="MH21" s="156">
        <v>45367</v>
      </c>
      <c r="MI21" s="156">
        <v>459596</v>
      </c>
      <c r="MJ21" s="157"/>
      <c r="MK21" s="156">
        <v>195771.29366000002</v>
      </c>
      <c r="ML21" s="156">
        <v>22700</v>
      </c>
      <c r="MM21" s="156">
        <v>11051</v>
      </c>
      <c r="MN21" s="156">
        <v>459596</v>
      </c>
      <c r="MO21" s="157"/>
      <c r="MP21" s="156">
        <v>229563</v>
      </c>
      <c r="MQ21" s="156">
        <v>44538</v>
      </c>
      <c r="MR21" s="156">
        <v>34316</v>
      </c>
      <c r="MS21" s="156">
        <v>459596</v>
      </c>
      <c r="MT21" s="157"/>
      <c r="MU21" s="163" t="s">
        <v>82</v>
      </c>
      <c r="MV21" s="156">
        <v>4574265</v>
      </c>
      <c r="MW21" s="156">
        <v>28852</v>
      </c>
      <c r="MX21" s="156">
        <v>-458954</v>
      </c>
      <c r="MY21" s="156">
        <v>8646833</v>
      </c>
      <c r="MZ21" s="157"/>
      <c r="NA21" s="156">
        <v>3339570</v>
      </c>
      <c r="NB21" s="156">
        <v>117195</v>
      </c>
      <c r="NC21" s="156">
        <v>-254167</v>
      </c>
      <c r="ND21" s="156">
        <v>8646833</v>
      </c>
      <c r="NE21" s="157"/>
      <c r="NF21" s="156">
        <v>2270136</v>
      </c>
      <c r="NG21" s="156">
        <v>28139</v>
      </c>
      <c r="NH21" s="156">
        <v>-230592</v>
      </c>
      <c r="NI21" s="156">
        <v>8646833</v>
      </c>
      <c r="NJ21" s="157"/>
      <c r="NK21" s="157"/>
      <c r="NL21" s="157"/>
      <c r="NM21" s="157"/>
      <c r="NN21" s="157"/>
      <c r="NO21" s="157"/>
      <c r="NP21" s="157"/>
      <c r="NQ21" s="157"/>
      <c r="NR21" s="157"/>
      <c r="NS21" s="157"/>
      <c r="NT21" s="157"/>
      <c r="NU21" s="157"/>
      <c r="NV21" s="157"/>
      <c r="NW21" s="157"/>
      <c r="NX21" s="157"/>
      <c r="NY21" s="157"/>
      <c r="NZ21" s="157"/>
      <c r="OA21" s="157"/>
      <c r="OB21" s="157"/>
      <c r="OC21" s="157"/>
      <c r="OD21" s="157"/>
      <c r="OE21" s="157"/>
      <c r="OF21" s="157"/>
      <c r="OG21" s="157"/>
      <c r="OH21" s="157"/>
      <c r="OI21" s="157"/>
      <c r="OJ21" s="157"/>
      <c r="OK21" s="157"/>
      <c r="OL21" s="157"/>
      <c r="OM21" s="157"/>
      <c r="ON21" s="157"/>
      <c r="OO21" s="157"/>
      <c r="OP21" s="157"/>
      <c r="OQ21" s="157"/>
      <c r="OR21" s="157"/>
      <c r="OS21" s="157"/>
      <c r="OT21" s="157"/>
      <c r="OU21" s="157"/>
      <c r="OV21" s="157"/>
      <c r="OW21" s="157"/>
      <c r="OX21" s="157"/>
      <c r="OY21" s="157"/>
      <c r="OZ21" s="157"/>
      <c r="PA21" s="157"/>
    </row>
    <row r="22" spans="1:417">
      <c r="A22" s="59" t="s">
        <v>588</v>
      </c>
      <c r="C22" s="686"/>
      <c r="D22" s="686"/>
      <c r="E22" s="686"/>
      <c r="F22" s="686"/>
      <c r="H22" s="686">
        <v>0</v>
      </c>
      <c r="I22" s="686">
        <v>0</v>
      </c>
      <c r="J22" s="686">
        <v>0</v>
      </c>
      <c r="K22" s="686">
        <v>0</v>
      </c>
      <c r="M22" s="686">
        <f t="shared" si="48"/>
        <v>0</v>
      </c>
      <c r="N22" s="686">
        <f t="shared" si="38"/>
        <v>0</v>
      </c>
      <c r="O22" s="686">
        <f t="shared" si="38"/>
        <v>0</v>
      </c>
      <c r="P22" s="686">
        <f t="shared" si="39"/>
        <v>0</v>
      </c>
      <c r="R22" s="686"/>
      <c r="S22" s="686"/>
      <c r="T22" s="686"/>
      <c r="U22" s="686"/>
      <c r="W22" s="686"/>
      <c r="X22" s="686"/>
      <c r="Y22" s="686"/>
      <c r="Z22" s="686"/>
      <c r="AB22" s="686"/>
      <c r="AC22" s="686"/>
      <c r="AD22" s="686"/>
      <c r="AE22" s="686"/>
      <c r="AG22" s="686"/>
      <c r="AH22" s="686"/>
      <c r="AI22" s="686"/>
      <c r="AJ22" s="686"/>
      <c r="AL22" s="686"/>
      <c r="AM22" s="686"/>
      <c r="AN22" s="686"/>
      <c r="AO22" s="686"/>
      <c r="AQ22" s="686">
        <f>(SUM([7]segmenty!$I$48:$J$48))*1000</f>
        <v>1030000</v>
      </c>
      <c r="AR22" s="686">
        <f>(SUM([7]segmenty!$I$73:$J$73))*1000</f>
        <v>801000</v>
      </c>
      <c r="AS22" s="686">
        <f>(SUM([7]segmenty!$I$70:$J$70))*1000</f>
        <v>50000</v>
      </c>
      <c r="AT22" s="686">
        <v>0</v>
      </c>
      <c r="AV22" s="686">
        <f t="shared" si="42"/>
        <v>484000</v>
      </c>
      <c r="AW22" s="686">
        <f t="shared" si="42"/>
        <v>517000</v>
      </c>
      <c r="AX22" s="686">
        <f t="shared" si="42"/>
        <v>-20000</v>
      </c>
      <c r="AY22" s="686"/>
      <c r="BA22" s="686">
        <f>(SUM([8]segmenty!$I$48:$J$48))*1000</f>
        <v>546000</v>
      </c>
      <c r="BB22" s="686">
        <f>(SUM([8]segmenty!$I$73:$J$73))*1000</f>
        <v>284000</v>
      </c>
      <c r="BC22" s="686">
        <f>(SUM([8]segmenty!$I$70:$J$70))*1000</f>
        <v>70000</v>
      </c>
      <c r="BD22" s="686"/>
      <c r="BF22" s="686">
        <f>('[8]segmenty 3 m-ce PREZ'!$K$39)*1000</f>
        <v>123000</v>
      </c>
      <c r="BG22" s="686">
        <f>('[8]segmenty 3 m-ce PREZ'!$K$46)*1000</f>
        <v>-47000</v>
      </c>
      <c r="BH22" s="686">
        <f>('[8]segmenty 3 m-ce PREZ'!$K$42)*1000</f>
        <v>-75000</v>
      </c>
      <c r="BI22" s="686"/>
      <c r="BK22" s="686">
        <f>(SUM([9]segmenty!$I$48:$J$48))*1000</f>
        <v>423000</v>
      </c>
      <c r="BL22" s="686">
        <f>(SUM([9]segmenty!$I$72:$J$72))*1000</f>
        <v>331000</v>
      </c>
      <c r="BM22" s="686">
        <f>(SUM([9]segmenty!$I$69:$J$69))*1000</f>
        <v>145000</v>
      </c>
      <c r="BN22" s="686">
        <f>(SUM([9]segmenty!$I$63:$J$63))*1000</f>
        <v>0</v>
      </c>
      <c r="BP22" s="686">
        <f>(SUM('[9]segmenty 3 m-ce'!$I$101:$J$101))*1000</f>
        <v>230000</v>
      </c>
      <c r="BQ22" s="686">
        <f>(SUM('[9]segmenty 3 m-ce'!$I$115:$J$115))*1000</f>
        <v>210000</v>
      </c>
      <c r="BR22" s="686">
        <f>(SUM('[9]segmenty 3 m-ce'!$I$112:$J$112))*1000</f>
        <v>76000</v>
      </c>
      <c r="BS22" s="686"/>
      <c r="BU22" s="686">
        <f>SUM([10]segmenty!$I$48:$J$48)*1000</f>
        <v>193000</v>
      </c>
      <c r="BV22" s="686">
        <f>SUM([10]segmenty!$I$71:$J$71)*1000</f>
        <v>121000</v>
      </c>
      <c r="BW22" s="686">
        <f>SUM([10]segmenty!$I$69:$J$69)*1000</f>
        <v>69000</v>
      </c>
      <c r="BX22" s="686">
        <f>SUM([10]segmenty!$I$63:$J$63)*1000</f>
        <v>0</v>
      </c>
      <c r="BZ22" s="686">
        <f>CE22-CO15</f>
        <v>-540000</v>
      </c>
      <c r="CA22" s="686">
        <f>CF22-CP15</f>
        <v>58000</v>
      </c>
      <c r="CB22" s="686">
        <f>CG22-CQ15</f>
        <v>16000</v>
      </c>
      <c r="CC22" s="686">
        <f t="shared" si="47"/>
        <v>953000</v>
      </c>
      <c r="CE22" s="686">
        <v>450000</v>
      </c>
      <c r="CF22" s="686">
        <v>-116000</v>
      </c>
      <c r="CG22" s="686">
        <v>-444000</v>
      </c>
      <c r="CH22" s="686">
        <v>953000</v>
      </c>
      <c r="CJ22" s="467"/>
      <c r="CK22" s="467"/>
      <c r="CL22" s="467"/>
      <c r="CM22" s="467"/>
      <c r="CO22" s="467"/>
      <c r="CP22" s="467"/>
      <c r="CQ22" s="467"/>
      <c r="CR22" s="467"/>
      <c r="CT22" s="467"/>
      <c r="CU22" s="467"/>
      <c r="CV22" s="467"/>
      <c r="CW22" s="467"/>
      <c r="CY22" s="467"/>
      <c r="CZ22" s="467"/>
      <c r="DA22" s="467"/>
      <c r="DB22" s="467"/>
      <c r="DD22" s="467"/>
      <c r="DE22" s="467"/>
      <c r="DF22" s="467"/>
      <c r="DG22" s="467"/>
      <c r="DI22" s="467"/>
      <c r="DJ22" s="467"/>
      <c r="DK22" s="467"/>
      <c r="DL22" s="467"/>
      <c r="DN22" s="467"/>
      <c r="DO22" s="467"/>
      <c r="DP22" s="467"/>
      <c r="DQ22" s="467"/>
      <c r="DS22" s="467"/>
      <c r="DT22" s="467"/>
      <c r="DU22" s="467"/>
      <c r="DV22" s="467"/>
      <c r="DX22" s="467"/>
      <c r="DY22" s="467"/>
      <c r="DZ22" s="467"/>
      <c r="EA22" s="467"/>
      <c r="EC22" s="467"/>
      <c r="ED22" s="467"/>
      <c r="EE22" s="467"/>
      <c r="EF22" s="467"/>
      <c r="EH22" s="467"/>
      <c r="EI22" s="467"/>
      <c r="EJ22" s="467"/>
      <c r="EK22" s="467"/>
      <c r="EM22" s="467"/>
      <c r="EN22" s="467"/>
      <c r="EO22" s="467"/>
      <c r="EP22" s="467"/>
      <c r="ER22" s="467">
        <f t="shared" si="33"/>
        <v>29677</v>
      </c>
      <c r="ES22" s="467">
        <f t="shared" si="33"/>
        <v>41512</v>
      </c>
      <c r="ET22" s="467">
        <f t="shared" si="33"/>
        <v>53342</v>
      </c>
      <c r="EU22" s="467">
        <f t="shared" si="34"/>
        <v>2758401</v>
      </c>
      <c r="EW22" s="467">
        <v>445956</v>
      </c>
      <c r="EX22" s="467">
        <v>178126</v>
      </c>
      <c r="EY22" s="467">
        <v>96406</v>
      </c>
      <c r="EZ22" s="467">
        <v>2758401</v>
      </c>
      <c r="FB22" s="467">
        <v>65771</v>
      </c>
      <c r="FC22" s="467">
        <v>-2979</v>
      </c>
      <c r="FD22" s="467">
        <v>-34472</v>
      </c>
      <c r="FE22" s="467">
        <f t="shared" si="35"/>
        <v>2758401</v>
      </c>
      <c r="FG22" s="467">
        <v>416279</v>
      </c>
      <c r="FH22" s="467">
        <v>136614</v>
      </c>
      <c r="FI22" s="467">
        <v>43064</v>
      </c>
      <c r="FJ22" s="467">
        <v>2758401</v>
      </c>
      <c r="FL22" s="467">
        <f t="shared" si="36"/>
        <v>124815</v>
      </c>
      <c r="FM22" s="468">
        <f t="shared" si="36"/>
        <v>31596</v>
      </c>
      <c r="FN22" s="467">
        <f t="shared" si="36"/>
        <v>21</v>
      </c>
      <c r="FO22" s="467">
        <v>2758401</v>
      </c>
      <c r="FQ22" s="467">
        <v>350508</v>
      </c>
      <c r="FR22" s="468">
        <v>139593</v>
      </c>
      <c r="FS22" s="467">
        <v>77536</v>
      </c>
      <c r="FT22" s="467">
        <v>2758401</v>
      </c>
      <c r="FV22" s="467">
        <v>225693</v>
      </c>
      <c r="FW22" s="468">
        <v>107997</v>
      </c>
      <c r="FX22" s="467">
        <v>77515</v>
      </c>
      <c r="FY22" s="467"/>
      <c r="FZ22" s="5"/>
      <c r="GA22" s="341"/>
      <c r="GB22" s="342"/>
      <c r="GC22" s="341"/>
      <c r="GD22" s="341"/>
      <c r="GF22" s="341"/>
      <c r="GG22" s="342"/>
      <c r="GH22" s="341"/>
      <c r="GI22" s="341"/>
      <c r="GK22" s="341"/>
      <c r="GL22" s="342"/>
      <c r="GM22" s="341"/>
      <c r="GN22" s="341"/>
      <c r="GP22" s="341"/>
      <c r="GQ22" s="342"/>
      <c r="GR22" s="341"/>
      <c r="GS22" s="341"/>
      <c r="GV22" s="341"/>
      <c r="GW22" s="342"/>
      <c r="GX22" s="341"/>
      <c r="GY22" s="341"/>
      <c r="HA22" s="341"/>
      <c r="HB22" s="342"/>
      <c r="HC22" s="341"/>
      <c r="HD22" s="341"/>
      <c r="HF22" s="341"/>
      <c r="HG22" s="342"/>
      <c r="HH22" s="341"/>
      <c r="HI22" s="341"/>
      <c r="HK22" s="341"/>
      <c r="HL22" s="341"/>
      <c r="HM22" s="341"/>
      <c r="HN22" s="341"/>
      <c r="HP22" s="341"/>
      <c r="HQ22" s="342"/>
      <c r="HR22" s="341"/>
      <c r="HS22" s="341"/>
      <c r="HU22" s="341"/>
      <c r="HV22" s="342"/>
      <c r="HW22" s="341"/>
      <c r="HX22" s="341"/>
      <c r="HZ22" s="341"/>
      <c r="IA22" s="342"/>
      <c r="IB22" s="341"/>
      <c r="IC22" s="341"/>
      <c r="IE22" s="166"/>
      <c r="IF22" s="319"/>
      <c r="IG22" s="166"/>
      <c r="IH22" s="166"/>
      <c r="IJ22" s="166"/>
      <c r="IK22" s="319"/>
      <c r="IL22" s="166"/>
      <c r="IM22" s="166"/>
      <c r="IO22" s="156"/>
      <c r="IP22" s="183"/>
      <c r="IQ22" s="156"/>
      <c r="IR22" s="156"/>
      <c r="IT22" s="156"/>
      <c r="IU22" s="156"/>
      <c r="IV22" s="156"/>
      <c r="IW22" s="156"/>
      <c r="IY22" s="156"/>
      <c r="IZ22" s="183"/>
      <c r="JA22" s="156"/>
      <c r="JB22" s="156"/>
      <c r="JC22" s="157"/>
      <c r="JD22" s="156"/>
      <c r="JE22" s="156"/>
      <c r="JF22" s="156"/>
      <c r="JG22" s="156"/>
      <c r="JH22" s="156"/>
      <c r="JI22" s="156"/>
      <c r="JJ22" s="156"/>
      <c r="JK22" s="156"/>
      <c r="JL22" s="156"/>
      <c r="JM22" s="157"/>
      <c r="JN22" s="156"/>
      <c r="JO22" s="156"/>
      <c r="JP22" s="156"/>
      <c r="JQ22" s="156"/>
      <c r="JR22" s="157"/>
      <c r="JS22" s="156"/>
      <c r="JT22" s="156"/>
      <c r="JU22" s="156"/>
      <c r="JV22" s="156"/>
      <c r="JW22" s="157"/>
      <c r="JX22" s="156"/>
      <c r="JY22" s="156"/>
      <c r="JZ22" s="156"/>
      <c r="KA22" s="156"/>
      <c r="KB22" s="157"/>
      <c r="KC22" s="156"/>
      <c r="KD22" s="156"/>
      <c r="KE22" s="156"/>
      <c r="KF22" s="156"/>
      <c r="KG22" s="157"/>
      <c r="KH22" s="156"/>
      <c r="KI22" s="156"/>
      <c r="KJ22" s="156"/>
      <c r="KK22" s="156"/>
      <c r="KL22" s="157"/>
      <c r="KM22" s="156"/>
      <c r="KN22" s="156"/>
      <c r="KO22" s="156"/>
      <c r="KP22" s="156"/>
      <c r="KQ22" s="157"/>
      <c r="KR22" s="156"/>
      <c r="KS22" s="156"/>
      <c r="KT22" s="156"/>
      <c r="KU22" s="156"/>
      <c r="KV22" s="157"/>
      <c r="KW22" s="156"/>
      <c r="KX22" s="156"/>
      <c r="KY22" s="156"/>
      <c r="KZ22" s="156"/>
      <c r="LA22" s="157"/>
      <c r="LB22" s="156"/>
      <c r="LC22" s="156"/>
      <c r="LD22" s="156"/>
      <c r="LE22" s="156"/>
      <c r="LF22" s="157"/>
      <c r="LG22" s="156"/>
      <c r="LH22" s="156"/>
      <c r="LI22" s="156"/>
      <c r="LJ22" s="156"/>
      <c r="LK22" s="157"/>
      <c r="LL22" s="156"/>
      <c r="LM22" s="156"/>
      <c r="LN22" s="156"/>
      <c r="LO22" s="156"/>
      <c r="LP22" s="163"/>
      <c r="LQ22" s="156"/>
      <c r="LR22" s="156"/>
      <c r="LS22" s="156"/>
      <c r="LT22" s="156"/>
      <c r="LU22" s="163"/>
      <c r="LV22" s="156"/>
      <c r="LW22" s="156"/>
      <c r="LX22" s="156"/>
      <c r="LY22" s="156"/>
      <c r="LZ22" s="157"/>
      <c r="MA22" s="156"/>
      <c r="MB22" s="156"/>
      <c r="MC22" s="156"/>
      <c r="MD22" s="156"/>
      <c r="ME22" s="157"/>
      <c r="MF22" s="156"/>
      <c r="MG22" s="156"/>
      <c r="MH22" s="156"/>
      <c r="MI22" s="156"/>
      <c r="MJ22" s="157"/>
      <c r="MK22" s="156"/>
      <c r="ML22" s="156"/>
      <c r="MM22" s="156"/>
      <c r="MN22" s="156"/>
      <c r="MO22" s="157"/>
      <c r="MP22" s="156"/>
      <c r="MQ22" s="156"/>
      <c r="MR22" s="156"/>
      <c r="MS22" s="156"/>
      <c r="MT22" s="157"/>
      <c r="MU22" s="163" t="s">
        <v>83</v>
      </c>
      <c r="MV22" s="156">
        <v>204495</v>
      </c>
      <c r="MW22" s="156">
        <v>135563</v>
      </c>
      <c r="MX22" s="156">
        <v>92978</v>
      </c>
      <c r="MY22" s="156">
        <v>1944940</v>
      </c>
      <c r="MZ22" s="157"/>
      <c r="NA22" s="156">
        <v>128900</v>
      </c>
      <c r="NB22" s="156">
        <v>83842</v>
      </c>
      <c r="NC22" s="156">
        <v>56875</v>
      </c>
      <c r="ND22" s="156">
        <v>1944940</v>
      </c>
      <c r="NE22" s="157"/>
      <c r="NF22" s="156">
        <v>92455</v>
      </c>
      <c r="NG22" s="156">
        <v>62060</v>
      </c>
      <c r="NH22" s="156">
        <v>43969</v>
      </c>
      <c r="NI22" s="156">
        <v>1944940</v>
      </c>
      <c r="NJ22" s="157"/>
      <c r="NK22" s="157"/>
      <c r="NL22" s="157"/>
      <c r="NM22" s="157"/>
      <c r="NN22" s="157"/>
      <c r="NO22" s="157"/>
      <c r="NP22" s="157"/>
      <c r="NQ22" s="157"/>
      <c r="NR22" s="157"/>
      <c r="NS22" s="157"/>
      <c r="NT22" s="157"/>
      <c r="NU22" s="157"/>
      <c r="NV22" s="157"/>
      <c r="NW22" s="157"/>
      <c r="NX22" s="157"/>
      <c r="NY22" s="157"/>
      <c r="NZ22" s="157"/>
      <c r="OA22" s="157"/>
      <c r="OB22" s="157"/>
      <c r="OC22" s="157"/>
      <c r="OD22" s="157"/>
      <c r="OE22" s="157"/>
      <c r="OF22" s="157"/>
      <c r="OG22" s="157"/>
      <c r="OH22" s="157"/>
      <c r="OI22" s="157"/>
      <c r="OJ22" s="157"/>
      <c r="OK22" s="157"/>
      <c r="OL22" s="157"/>
      <c r="OM22" s="157"/>
      <c r="ON22" s="157"/>
      <c r="OO22" s="157"/>
      <c r="OP22" s="157"/>
      <c r="OQ22" s="157"/>
      <c r="OR22" s="157"/>
      <c r="OS22" s="157"/>
      <c r="OT22" s="157"/>
      <c r="OU22" s="157"/>
      <c r="OV22" s="157"/>
      <c r="OW22" s="157"/>
      <c r="OX22" s="157"/>
      <c r="OY22" s="157"/>
      <c r="OZ22" s="157"/>
      <c r="PA22" s="157"/>
    </row>
    <row r="23" spans="1:417">
      <c r="A23" s="307" t="s">
        <v>879</v>
      </c>
      <c r="C23" s="469">
        <f>([3]segmenty!$H$47)*1000</f>
        <v>-4798000</v>
      </c>
      <c r="D23" s="469">
        <f>([3]segmenty!$H$72)*1000</f>
        <v>-47000</v>
      </c>
      <c r="E23" s="469">
        <f>([3]segmenty!$H$69)*1000</f>
        <v>-46000</v>
      </c>
      <c r="F23" s="469">
        <f>([3]segmenty!$H$63)*1000</f>
        <v>1146000</v>
      </c>
      <c r="H23" s="469">
        <f>([4]segmenty!$H$47)*1000</f>
        <v>-20018000</v>
      </c>
      <c r="I23" s="469">
        <f>([4]segmenty!$H$72)*1000</f>
        <v>-32000</v>
      </c>
      <c r="J23" s="469">
        <f>([4]segmenty!$H$69)*1000</f>
        <v>-29000</v>
      </c>
      <c r="K23" s="469">
        <f>([4]segmenty!$H$63)*1000</f>
        <v>1748000</v>
      </c>
      <c r="M23" s="469">
        <f>H23-R23</f>
        <v>-5563000</v>
      </c>
      <c r="N23" s="469">
        <f t="shared" si="38"/>
        <v>-47000</v>
      </c>
      <c r="O23" s="469">
        <f t="shared" si="38"/>
        <v>-46000</v>
      </c>
      <c r="P23" s="469">
        <f t="shared" si="39"/>
        <v>1748000</v>
      </c>
      <c r="R23" s="469">
        <f>([5]segmenty!$H$47)*1000+583000</f>
        <v>-14455000</v>
      </c>
      <c r="S23" s="469">
        <f>([5]segmenty!$H$72)*1000</f>
        <v>15000</v>
      </c>
      <c r="T23" s="469">
        <f>([5]segmenty!$H$69)*1000</f>
        <v>17000</v>
      </c>
      <c r="U23" s="469">
        <f>([5]segmenty!$H$63)*1000</f>
        <v>1748000</v>
      </c>
      <c r="W23" s="469">
        <f>('[5]segmenty 3 m-ce'!$H$100)*1000</f>
        <v>-3165000</v>
      </c>
      <c r="X23" s="469">
        <f>('[5]segmenty 3 m-ce'!$H$115)*1000</f>
        <v>-34000</v>
      </c>
      <c r="Y23" s="469">
        <f>('[5]segmenty 3 m-ce'!$H$112)*1000</f>
        <v>-32000</v>
      </c>
      <c r="Z23" s="469">
        <f t="shared" ref="Z23" si="49">U23</f>
        <v>1748000</v>
      </c>
      <c r="AB23" s="469">
        <f>'[11]segmenty prez'!$H$45*1000+583000</f>
        <v>-11290000</v>
      </c>
      <c r="AC23" s="469">
        <f>'[11]segmenty prez'!$H$52*1000</f>
        <v>49000</v>
      </c>
      <c r="AD23" s="469">
        <f>'[11]segmenty prez'!$H$48*1000</f>
        <v>49000</v>
      </c>
      <c r="AE23" s="469">
        <f>[11]segmenty!$H$63*1000</f>
        <v>1748000</v>
      </c>
      <c r="AG23" s="469">
        <f>'[11]segmenty 3 m-ce PREZ'!$H$38*1000-3000</f>
        <v>-5148000</v>
      </c>
      <c r="AH23" s="469">
        <f>'[11]segmenty 3 m-ce PREZ'!$H$45*1000</f>
        <v>-36000</v>
      </c>
      <c r="AI23" s="469">
        <f>'[11]segmenty 3 m-ce PREZ'!$H$41*1000</f>
        <v>-37000</v>
      </c>
      <c r="AJ23" s="469">
        <f>AE23</f>
        <v>1748000</v>
      </c>
      <c r="AL23" s="469">
        <f>'[6]segmenty prez'!$G$45*1000-43000+586000</f>
        <v>-6142000</v>
      </c>
      <c r="AM23" s="469">
        <f>'[6]segmenty prez'!$G$52*1000</f>
        <v>85000</v>
      </c>
      <c r="AN23" s="469">
        <f>'[6]segmenty prez'!$G$48*1000</f>
        <v>86000</v>
      </c>
      <c r="AO23" s="469">
        <f>'[6]segmenty prez'!$G$63*1000</f>
        <v>1748000</v>
      </c>
      <c r="AQ23" s="469"/>
      <c r="AR23" s="469"/>
      <c r="AS23" s="469"/>
      <c r="AT23" s="469"/>
      <c r="AV23" s="469"/>
      <c r="AW23" s="469"/>
      <c r="AX23" s="469"/>
      <c r="AY23" s="469"/>
      <c r="BA23" s="469"/>
      <c r="BB23" s="469"/>
      <c r="BC23" s="469"/>
      <c r="BD23" s="469"/>
      <c r="BF23" s="469"/>
      <c r="BG23" s="469"/>
      <c r="BH23" s="469"/>
      <c r="BI23" s="469"/>
      <c r="BK23" s="469"/>
      <c r="BL23" s="469"/>
      <c r="BM23" s="469"/>
      <c r="BN23" s="469"/>
      <c r="BP23" s="469"/>
      <c r="BQ23" s="469"/>
      <c r="BR23" s="469"/>
      <c r="BS23" s="469"/>
      <c r="BU23" s="469"/>
      <c r="BV23" s="469"/>
      <c r="BW23" s="469"/>
      <c r="BX23" s="469"/>
      <c r="BZ23" s="469"/>
      <c r="CA23" s="469"/>
      <c r="CB23" s="469"/>
      <c r="CC23" s="469"/>
      <c r="CE23" s="469"/>
      <c r="CF23" s="469"/>
      <c r="CG23" s="469"/>
      <c r="CH23" s="469"/>
      <c r="CJ23" s="469"/>
      <c r="CK23" s="469"/>
      <c r="CL23" s="469"/>
      <c r="CM23" s="469"/>
      <c r="CO23" s="469"/>
      <c r="CP23" s="469"/>
      <c r="CQ23" s="469"/>
      <c r="CR23" s="469"/>
      <c r="CT23" s="469"/>
      <c r="CU23" s="469"/>
      <c r="CV23" s="469"/>
      <c r="CW23" s="469"/>
      <c r="CY23" s="469"/>
      <c r="CZ23" s="469"/>
      <c r="DA23" s="469"/>
      <c r="DB23" s="469"/>
      <c r="DD23" s="469"/>
      <c r="DE23" s="469"/>
      <c r="DF23" s="469"/>
      <c r="DG23" s="469"/>
      <c r="DI23" s="469"/>
      <c r="DJ23" s="469"/>
      <c r="DK23" s="469"/>
      <c r="DL23" s="469"/>
      <c r="DN23" s="469"/>
      <c r="DO23" s="469"/>
      <c r="DP23" s="469"/>
      <c r="DQ23" s="469"/>
      <c r="DS23" s="469"/>
      <c r="DT23" s="469"/>
      <c r="DU23" s="469"/>
      <c r="DV23" s="469"/>
      <c r="DX23" s="469"/>
      <c r="DY23" s="469"/>
      <c r="DZ23" s="469"/>
      <c r="EA23" s="469"/>
      <c r="EC23" s="469"/>
      <c r="ED23" s="469"/>
      <c r="EE23" s="469"/>
      <c r="EF23" s="469"/>
      <c r="EH23" s="469"/>
      <c r="EI23" s="469"/>
      <c r="EJ23" s="469"/>
      <c r="EK23" s="469"/>
      <c r="EM23" s="469"/>
      <c r="EN23" s="469"/>
      <c r="EO23" s="469"/>
      <c r="EP23" s="469"/>
      <c r="ER23" s="469"/>
      <c r="ES23" s="469"/>
      <c r="ET23" s="469"/>
      <c r="EU23" s="469"/>
      <c r="EW23" s="469"/>
      <c r="EX23" s="469"/>
      <c r="EY23" s="469"/>
      <c r="EZ23" s="469"/>
      <c r="FB23" s="469"/>
      <c r="FC23" s="469"/>
      <c r="FD23" s="469"/>
      <c r="FE23" s="469"/>
      <c r="FG23" s="469"/>
      <c r="FH23" s="469"/>
      <c r="FI23" s="469"/>
      <c r="FJ23" s="469"/>
      <c r="FL23" s="469"/>
      <c r="FM23" s="470"/>
      <c r="FN23" s="469"/>
      <c r="FO23" s="469"/>
      <c r="FQ23" s="469"/>
      <c r="FR23" s="470"/>
      <c r="FS23" s="469"/>
      <c r="FT23" s="469"/>
      <c r="FV23" s="469"/>
      <c r="FW23" s="470"/>
      <c r="FX23" s="469"/>
      <c r="FY23" s="469"/>
      <c r="FZ23" s="5"/>
      <c r="GA23" s="343"/>
      <c r="GB23" s="344"/>
      <c r="GC23" s="343"/>
      <c r="GD23" s="343"/>
      <c r="GF23" s="343"/>
      <c r="GG23" s="344"/>
      <c r="GH23" s="343"/>
      <c r="GI23" s="343"/>
      <c r="GK23" s="343"/>
      <c r="GL23" s="344"/>
      <c r="GM23" s="343"/>
      <c r="GN23" s="343"/>
      <c r="GP23" s="343"/>
      <c r="GQ23" s="344"/>
      <c r="GR23" s="343"/>
      <c r="GS23" s="343"/>
      <c r="GV23" s="343"/>
      <c r="GW23" s="344"/>
      <c r="GX23" s="343"/>
      <c r="GY23" s="343"/>
      <c r="HA23" s="343"/>
      <c r="HB23" s="344"/>
      <c r="HC23" s="343"/>
      <c r="HD23" s="343"/>
      <c r="HF23" s="343"/>
      <c r="HG23" s="344"/>
      <c r="HH23" s="343"/>
      <c r="HI23" s="343"/>
      <c r="HK23" s="343"/>
      <c r="HL23" s="343"/>
      <c r="HM23" s="343"/>
      <c r="HN23" s="343"/>
      <c r="HP23" s="343"/>
      <c r="HQ23" s="344"/>
      <c r="HR23" s="343"/>
      <c r="HS23" s="343"/>
      <c r="HU23" s="343"/>
      <c r="HV23" s="344"/>
      <c r="HW23" s="343"/>
      <c r="HX23" s="343"/>
      <c r="HZ23" s="343"/>
      <c r="IA23" s="344"/>
      <c r="IB23" s="343"/>
      <c r="IC23" s="343"/>
      <c r="IE23" s="320"/>
      <c r="IF23" s="321"/>
      <c r="IG23" s="320"/>
      <c r="IH23" s="320"/>
      <c r="IJ23" s="320"/>
      <c r="IK23" s="321"/>
      <c r="IL23" s="320"/>
      <c r="IM23" s="320"/>
      <c r="IO23" s="181"/>
      <c r="IP23" s="184"/>
      <c r="IQ23" s="181"/>
      <c r="IR23" s="181"/>
      <c r="IT23" s="181"/>
      <c r="IU23" s="181"/>
      <c r="IV23" s="181"/>
      <c r="IW23" s="181"/>
      <c r="IY23" s="181"/>
      <c r="IZ23" s="184"/>
      <c r="JA23" s="181"/>
      <c r="JB23" s="181"/>
      <c r="JC23" s="157"/>
      <c r="JD23" s="181"/>
      <c r="JE23" s="181"/>
      <c r="JF23" s="181"/>
      <c r="JG23" s="181"/>
      <c r="JH23" s="181"/>
      <c r="JI23" s="181"/>
      <c r="JJ23" s="181"/>
      <c r="JK23" s="181"/>
      <c r="JL23" s="181"/>
      <c r="JM23" s="157"/>
      <c r="JN23" s="181"/>
      <c r="JO23" s="181"/>
      <c r="JP23" s="181"/>
      <c r="JQ23" s="181"/>
      <c r="JR23" s="157"/>
      <c r="JS23" s="181"/>
      <c r="JT23" s="181"/>
      <c r="JU23" s="181"/>
      <c r="JV23" s="181"/>
      <c r="JW23" s="157"/>
      <c r="JX23" s="181"/>
      <c r="JY23" s="181"/>
      <c r="JZ23" s="181"/>
      <c r="KA23" s="181"/>
      <c r="KB23" s="157"/>
      <c r="KC23" s="181"/>
      <c r="KD23" s="181"/>
      <c r="KE23" s="181"/>
      <c r="KF23" s="181"/>
      <c r="KG23" s="157"/>
      <c r="KH23" s="181"/>
      <c r="KI23" s="181"/>
      <c r="KJ23" s="181"/>
      <c r="KK23" s="181"/>
      <c r="KL23" s="157"/>
      <c r="KM23" s="181"/>
      <c r="KN23" s="181"/>
      <c r="KO23" s="181"/>
      <c r="KP23" s="181"/>
      <c r="KQ23" s="157"/>
      <c r="KR23" s="181"/>
      <c r="KS23" s="181"/>
      <c r="KT23" s="181"/>
      <c r="KU23" s="181"/>
      <c r="KV23" s="157"/>
      <c r="KW23" s="181"/>
      <c r="KX23" s="181"/>
      <c r="KY23" s="181"/>
      <c r="KZ23" s="181"/>
      <c r="LA23" s="157"/>
      <c r="LB23" s="181"/>
      <c r="LC23" s="181"/>
      <c r="LD23" s="181"/>
      <c r="LE23" s="181"/>
      <c r="LF23" s="157"/>
      <c r="LG23" s="181"/>
      <c r="LH23" s="181"/>
      <c r="LI23" s="181"/>
      <c r="LJ23" s="181"/>
      <c r="LK23" s="157"/>
      <c r="LL23" s="181"/>
      <c r="LM23" s="181"/>
      <c r="LN23" s="181"/>
      <c r="LO23" s="181"/>
      <c r="LP23" s="163"/>
      <c r="LQ23" s="181"/>
      <c r="LR23" s="181"/>
      <c r="LS23" s="181"/>
      <c r="LT23" s="181"/>
      <c r="LU23" s="163"/>
      <c r="LV23" s="181"/>
      <c r="LW23" s="181"/>
      <c r="LX23" s="181"/>
      <c r="LY23" s="181"/>
      <c r="LZ23" s="157"/>
      <c r="MA23" s="181"/>
      <c r="MB23" s="181"/>
      <c r="MC23" s="181"/>
      <c r="MD23" s="181"/>
      <c r="ME23" s="157"/>
      <c r="MF23" s="181"/>
      <c r="MG23" s="181"/>
      <c r="MH23" s="181"/>
      <c r="MI23" s="181"/>
      <c r="MJ23" s="157"/>
      <c r="MK23" s="181"/>
      <c r="ML23" s="181"/>
      <c r="MM23" s="181"/>
      <c r="MN23" s="181"/>
      <c r="MO23" s="157"/>
      <c r="MP23" s="181"/>
      <c r="MQ23" s="181"/>
      <c r="MR23" s="181"/>
      <c r="MS23" s="181"/>
      <c r="MT23" s="157"/>
      <c r="MU23" s="163" t="s">
        <v>84</v>
      </c>
      <c r="MV23" s="156">
        <v>1337722</v>
      </c>
      <c r="MW23" s="156">
        <v>235453</v>
      </c>
      <c r="MX23" s="156">
        <v>110909</v>
      </c>
      <c r="MY23" s="180">
        <v>2169616</v>
      </c>
      <c r="MZ23" s="157"/>
      <c r="NA23" s="156">
        <v>925675</v>
      </c>
      <c r="NB23" s="156">
        <v>164893</v>
      </c>
      <c r="NC23" s="156">
        <v>76101</v>
      </c>
      <c r="ND23" s="180">
        <v>2169616</v>
      </c>
      <c r="NE23" s="157"/>
      <c r="NF23" s="156">
        <v>716398</v>
      </c>
      <c r="NG23" s="156">
        <v>132718</v>
      </c>
      <c r="NH23" s="156">
        <v>74944</v>
      </c>
      <c r="NI23" s="180">
        <v>2169616</v>
      </c>
      <c r="NJ23" s="157"/>
      <c r="NK23" s="157"/>
      <c r="NL23" s="157"/>
      <c r="NM23" s="157"/>
      <c r="NN23" s="157"/>
      <c r="NO23" s="157"/>
      <c r="NP23" s="157"/>
      <c r="NQ23" s="157"/>
      <c r="NR23" s="157"/>
      <c r="NS23" s="157"/>
      <c r="NT23" s="157"/>
      <c r="NU23" s="157"/>
      <c r="NV23" s="157"/>
      <c r="NW23" s="157"/>
      <c r="NX23" s="157"/>
      <c r="NY23" s="157"/>
      <c r="NZ23" s="157"/>
      <c r="OA23" s="157"/>
      <c r="OB23" s="157"/>
      <c r="OC23" s="157"/>
      <c r="OD23" s="157"/>
      <c r="OE23" s="157"/>
      <c r="OF23" s="157"/>
      <c r="OG23" s="157"/>
      <c r="OH23" s="157"/>
      <c r="OI23" s="157"/>
      <c r="OJ23" s="157"/>
      <c r="OK23" s="157"/>
      <c r="OL23" s="157"/>
      <c r="OM23" s="157"/>
      <c r="ON23" s="157"/>
      <c r="OO23" s="157"/>
      <c r="OP23" s="157"/>
      <c r="OQ23" s="157"/>
      <c r="OR23" s="157"/>
      <c r="OS23" s="157"/>
      <c r="OT23" s="157"/>
      <c r="OU23" s="157"/>
      <c r="OV23" s="157"/>
      <c r="OW23" s="157"/>
      <c r="OX23" s="157"/>
      <c r="OY23" s="157"/>
      <c r="OZ23" s="157"/>
      <c r="PA23" s="157"/>
    </row>
    <row r="24" spans="1:417">
      <c r="R24" s="637"/>
      <c r="AB24" s="637"/>
      <c r="IT24" s="157"/>
      <c r="IU24" s="157"/>
      <c r="IV24" s="157"/>
      <c r="IW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57"/>
      <c r="MG24" s="157"/>
      <c r="MH24" s="157"/>
      <c r="MI24" s="157"/>
      <c r="MJ24" s="157"/>
      <c r="MK24" s="157"/>
      <c r="ML24" s="157"/>
      <c r="MM24" s="157"/>
      <c r="MN24" s="157"/>
      <c r="MO24" s="157"/>
      <c r="MP24" s="157"/>
      <c r="MQ24" s="157"/>
      <c r="MR24" s="157"/>
      <c r="MS24" s="157"/>
      <c r="MT24" s="157"/>
      <c r="MU24" s="163" t="s">
        <v>85</v>
      </c>
      <c r="MV24" s="156">
        <v>5997470</v>
      </c>
      <c r="MW24" s="156">
        <v>2208381</v>
      </c>
      <c r="MX24" s="156">
        <v>1295639</v>
      </c>
      <c r="MY24" s="180">
        <v>14002290</v>
      </c>
      <c r="MZ24" s="157"/>
      <c r="NA24" s="156">
        <v>4451191</v>
      </c>
      <c r="NB24" s="156">
        <v>1700695</v>
      </c>
      <c r="NC24" s="156">
        <v>1024329</v>
      </c>
      <c r="ND24" s="180">
        <v>14002290</v>
      </c>
      <c r="NE24" s="157"/>
      <c r="NF24" s="156">
        <v>3010804</v>
      </c>
      <c r="NG24" s="156">
        <v>1104102</v>
      </c>
      <c r="NH24" s="156">
        <v>656155</v>
      </c>
      <c r="NI24" s="180">
        <v>14002290</v>
      </c>
      <c r="NJ24" s="157"/>
      <c r="NK24" s="157"/>
      <c r="NL24" s="157"/>
      <c r="NM24" s="157"/>
      <c r="NN24" s="157"/>
      <c r="NO24" s="157"/>
      <c r="NP24" s="157"/>
      <c r="NQ24" s="157"/>
      <c r="NR24" s="157"/>
      <c r="NS24" s="157"/>
      <c r="NT24" s="157"/>
      <c r="NU24" s="157"/>
      <c r="NV24" s="157"/>
      <c r="NW24" s="157"/>
      <c r="NX24" s="157"/>
      <c r="NY24" s="157"/>
      <c r="NZ24" s="157"/>
      <c r="OA24" s="157"/>
      <c r="OB24" s="157"/>
      <c r="OC24" s="157"/>
      <c r="OD24" s="157"/>
      <c r="OE24" s="157"/>
      <c r="OF24" s="157"/>
      <c r="OG24" s="157"/>
      <c r="OH24" s="157"/>
      <c r="OI24" s="157"/>
      <c r="OJ24" s="157"/>
      <c r="OK24" s="157"/>
      <c r="OL24" s="157"/>
      <c r="OM24" s="157"/>
      <c r="ON24" s="157"/>
      <c r="OO24" s="157"/>
      <c r="OP24" s="157"/>
      <c r="OQ24" s="157"/>
      <c r="OR24" s="157"/>
      <c r="OS24" s="157"/>
      <c r="OT24" s="157"/>
      <c r="OU24" s="157"/>
      <c r="OV24" s="157"/>
      <c r="OW24" s="157"/>
      <c r="OX24" s="157"/>
      <c r="OY24" s="157"/>
      <c r="OZ24" s="157"/>
      <c r="PA24" s="157"/>
    </row>
    <row r="25" spans="1:417">
      <c r="IT25" s="157"/>
      <c r="IU25" s="157"/>
      <c r="IV25" s="157"/>
      <c r="IW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  <c r="MJ25" s="157"/>
      <c r="MK25" s="157"/>
      <c r="ML25" s="157"/>
      <c r="MM25" s="157"/>
      <c r="MN25" s="157"/>
      <c r="MO25" s="157"/>
      <c r="MP25" s="157"/>
      <c r="MQ25" s="157"/>
      <c r="MR25" s="157"/>
      <c r="MS25" s="157"/>
      <c r="MT25" s="157"/>
      <c r="MU25" s="163" t="s">
        <v>86</v>
      </c>
      <c r="MV25" s="156">
        <v>18017593</v>
      </c>
      <c r="MW25" s="156">
        <v>899208</v>
      </c>
      <c r="MX25" s="156">
        <v>864579</v>
      </c>
      <c r="MY25" s="180">
        <v>3111539</v>
      </c>
      <c r="MZ25" s="157"/>
      <c r="NA25" s="156">
        <v>13301459</v>
      </c>
      <c r="NB25" s="156">
        <v>747154</v>
      </c>
      <c r="NC25" s="156">
        <v>721007</v>
      </c>
      <c r="ND25" s="180">
        <v>3111539</v>
      </c>
      <c r="NE25" s="157"/>
      <c r="NF25" s="156">
        <v>8993554</v>
      </c>
      <c r="NG25" s="156">
        <v>595731</v>
      </c>
      <c r="NH25" s="156">
        <v>578520</v>
      </c>
      <c r="NI25" s="180">
        <v>3111539</v>
      </c>
      <c r="NJ25" s="157"/>
      <c r="NK25" s="157"/>
      <c r="NL25" s="157"/>
      <c r="NM25" s="157"/>
      <c r="NN25" s="157"/>
      <c r="NO25" s="157"/>
      <c r="NP25" s="157"/>
      <c r="NQ25" s="157"/>
      <c r="NR25" s="157"/>
      <c r="NS25" s="157"/>
      <c r="NT25" s="157"/>
      <c r="NU25" s="157"/>
      <c r="NV25" s="157"/>
      <c r="NW25" s="157"/>
      <c r="NX25" s="157"/>
      <c r="NY25" s="157"/>
      <c r="NZ25" s="157"/>
      <c r="OA25" s="157"/>
      <c r="OB25" s="157"/>
      <c r="OC25" s="157"/>
      <c r="OD25" s="157"/>
      <c r="OE25" s="157"/>
      <c r="OF25" s="157"/>
      <c r="OG25" s="157"/>
      <c r="OH25" s="157"/>
      <c r="OI25" s="157"/>
      <c r="OJ25" s="157"/>
      <c r="OK25" s="157"/>
      <c r="OL25" s="157"/>
      <c r="OM25" s="157"/>
      <c r="ON25" s="157"/>
      <c r="OO25" s="157"/>
      <c r="OP25" s="157"/>
      <c r="OQ25" s="157"/>
      <c r="OR25" s="157"/>
      <c r="OS25" s="157"/>
      <c r="OT25" s="157"/>
      <c r="OU25" s="157"/>
      <c r="OV25" s="157"/>
      <c r="OW25" s="157"/>
      <c r="OX25" s="157"/>
      <c r="OY25" s="157"/>
      <c r="OZ25" s="157"/>
      <c r="PA25" s="157"/>
    </row>
    <row r="26" spans="1:417">
      <c r="IT26" s="157"/>
      <c r="IU26" s="157"/>
      <c r="IV26" s="157"/>
      <c r="IW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  <c r="ML26" s="157"/>
      <c r="MM26" s="157"/>
      <c r="MN26" s="157"/>
      <c r="MO26" s="157"/>
      <c r="MP26" s="157"/>
      <c r="MQ26" s="157"/>
      <c r="MR26" s="157"/>
      <c r="MS26" s="157"/>
      <c r="MT26" s="157"/>
      <c r="MU26" s="163" t="s">
        <v>87</v>
      </c>
      <c r="MV26" s="156">
        <v>492583</v>
      </c>
      <c r="MW26" s="156">
        <v>45283</v>
      </c>
      <c r="MX26" s="156">
        <v>26837</v>
      </c>
      <c r="MY26" s="156">
        <v>183519</v>
      </c>
      <c r="MZ26" s="157"/>
      <c r="NA26" s="156">
        <v>374979</v>
      </c>
      <c r="NB26" s="156">
        <v>71552</v>
      </c>
      <c r="NC26" s="156">
        <v>59678</v>
      </c>
      <c r="ND26" s="156">
        <v>183519</v>
      </c>
      <c r="NE26" s="157"/>
      <c r="NF26" s="156">
        <v>235207</v>
      </c>
      <c r="NG26" s="156">
        <v>33659</v>
      </c>
      <c r="NH26" s="156">
        <v>26904</v>
      </c>
      <c r="NI26" s="156">
        <v>183519</v>
      </c>
      <c r="NJ26" s="157"/>
      <c r="NK26" s="157"/>
      <c r="NL26" s="157"/>
      <c r="NM26" s="157"/>
      <c r="NN26" s="157"/>
      <c r="NO26" s="157"/>
      <c r="NP26" s="157"/>
      <c r="NQ26" s="157"/>
      <c r="NR26" s="157"/>
      <c r="NS26" s="157"/>
      <c r="NT26" s="157"/>
      <c r="NU26" s="157"/>
      <c r="NV26" s="157"/>
      <c r="NW26" s="157"/>
      <c r="NX26" s="157"/>
      <c r="NY26" s="157"/>
      <c r="NZ26" s="157"/>
      <c r="OA26" s="157"/>
      <c r="OB26" s="157"/>
      <c r="OC26" s="157"/>
      <c r="OD26" s="157"/>
      <c r="OE26" s="157"/>
      <c r="OF26" s="157"/>
      <c r="OG26" s="157"/>
      <c r="OH26" s="157"/>
      <c r="OI26" s="157"/>
      <c r="OJ26" s="157"/>
      <c r="OK26" s="157"/>
      <c r="OL26" s="157"/>
      <c r="OM26" s="157"/>
      <c r="ON26" s="157"/>
      <c r="OO26" s="157"/>
      <c r="OP26" s="157"/>
      <c r="OQ26" s="157"/>
      <c r="OR26" s="157"/>
      <c r="OS26" s="157"/>
      <c r="OT26" s="157"/>
      <c r="OU26" s="157"/>
      <c r="OV26" s="157"/>
      <c r="OW26" s="157"/>
      <c r="OX26" s="157"/>
      <c r="OY26" s="157"/>
      <c r="OZ26" s="157"/>
      <c r="PA26" s="157"/>
    </row>
    <row r="27" spans="1:417">
      <c r="AV27" s="10">
        <v>1000</v>
      </c>
      <c r="BF27" s="10">
        <v>1000</v>
      </c>
      <c r="IT27" s="157"/>
      <c r="IU27" s="157"/>
      <c r="IV27" s="157"/>
      <c r="IW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  <c r="ML27" s="157"/>
      <c r="MM27" s="157"/>
      <c r="MN27" s="157"/>
      <c r="MO27" s="157"/>
      <c r="MP27" s="157"/>
      <c r="MQ27" s="157"/>
      <c r="MR27" s="157"/>
      <c r="MS27" s="157"/>
      <c r="MT27" s="157"/>
      <c r="MU27" s="173" t="s">
        <v>80</v>
      </c>
      <c r="MV27" s="170">
        <v>310212</v>
      </c>
      <c r="MW27" s="170">
        <v>17485</v>
      </c>
      <c r="MX27" s="170">
        <v>10816</v>
      </c>
      <c r="MY27" s="170">
        <v>170774</v>
      </c>
      <c r="MZ27" s="157"/>
      <c r="NA27" s="170">
        <v>233119</v>
      </c>
      <c r="NB27" s="170">
        <v>14099</v>
      </c>
      <c r="NC27" s="170">
        <v>7486</v>
      </c>
      <c r="ND27" s="170">
        <v>170774</v>
      </c>
      <c r="NE27" s="157"/>
      <c r="NF27" s="170">
        <v>165982</v>
      </c>
      <c r="NG27" s="170">
        <v>6191</v>
      </c>
      <c r="NH27" s="170">
        <v>1763</v>
      </c>
      <c r="NI27" s="170">
        <v>170774</v>
      </c>
      <c r="NJ27" s="157"/>
      <c r="NK27" s="157"/>
      <c r="NL27" s="157"/>
      <c r="NM27" s="157"/>
      <c r="NN27" s="157"/>
      <c r="NO27" s="157"/>
      <c r="NP27" s="157"/>
      <c r="NQ27" s="157"/>
      <c r="NR27" s="157"/>
      <c r="NS27" s="157"/>
      <c r="NT27" s="157"/>
      <c r="NU27" s="157"/>
      <c r="NV27" s="157"/>
      <c r="NW27" s="157"/>
      <c r="NX27" s="157"/>
      <c r="NY27" s="157"/>
      <c r="NZ27" s="157"/>
      <c r="OA27" s="157"/>
      <c r="OB27" s="157"/>
      <c r="OC27" s="157"/>
      <c r="OD27" s="157"/>
      <c r="OE27" s="157"/>
      <c r="OF27" s="157"/>
      <c r="OG27" s="157"/>
      <c r="OH27" s="157"/>
      <c r="OI27" s="157"/>
      <c r="OJ27" s="157"/>
      <c r="OK27" s="157"/>
      <c r="OL27" s="157"/>
      <c r="OM27" s="157"/>
      <c r="ON27" s="157"/>
      <c r="OO27" s="157"/>
      <c r="OP27" s="157"/>
      <c r="OQ27" s="157"/>
      <c r="OR27" s="157"/>
      <c r="OS27" s="157"/>
      <c r="OT27" s="157"/>
      <c r="OU27" s="157"/>
      <c r="OV27" s="157"/>
      <c r="OW27" s="157"/>
      <c r="OX27" s="157"/>
      <c r="OY27" s="157"/>
      <c r="OZ27" s="157"/>
      <c r="PA27" s="157"/>
    </row>
    <row r="28" spans="1:417">
      <c r="IT28" s="157"/>
      <c r="IU28" s="157"/>
      <c r="IV28" s="157"/>
      <c r="IW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  <c r="MT28" s="157"/>
      <c r="MU28" s="157"/>
      <c r="MV28" s="157"/>
      <c r="MW28" s="157"/>
      <c r="MX28" s="157"/>
      <c r="MY28" s="157"/>
      <c r="MZ28" s="157"/>
      <c r="NA28" s="157"/>
      <c r="NB28" s="157"/>
      <c r="NC28" s="157"/>
      <c r="ND28" s="157"/>
      <c r="NE28" s="157"/>
      <c r="NF28" s="157"/>
      <c r="NG28" s="157"/>
      <c r="NH28" s="157"/>
      <c r="NI28" s="157"/>
      <c r="NJ28" s="157"/>
      <c r="NK28" s="157"/>
      <c r="NL28" s="157"/>
      <c r="NM28" s="157"/>
      <c r="NN28" s="157"/>
      <c r="NO28" s="157"/>
      <c r="NP28" s="157"/>
      <c r="NQ28" s="157"/>
      <c r="NR28" s="157"/>
      <c r="NS28" s="157"/>
      <c r="NT28" s="157"/>
      <c r="NU28" s="157"/>
      <c r="NV28" s="157"/>
      <c r="NW28" s="157"/>
      <c r="NX28" s="157"/>
      <c r="NY28" s="157"/>
      <c r="NZ28" s="157"/>
      <c r="OA28" s="157"/>
      <c r="OB28" s="157"/>
      <c r="OC28" s="157"/>
      <c r="OD28" s="157"/>
      <c r="OE28" s="157"/>
      <c r="OF28" s="157"/>
      <c r="OG28" s="157"/>
      <c r="OH28" s="157"/>
      <c r="OI28" s="157"/>
      <c r="OJ28" s="157"/>
      <c r="OK28" s="157"/>
      <c r="OL28" s="157"/>
      <c r="OM28" s="157"/>
      <c r="ON28" s="157"/>
      <c r="OO28" s="157"/>
      <c r="OP28" s="157"/>
      <c r="OQ28" s="157"/>
      <c r="OR28" s="157"/>
      <c r="OS28" s="157"/>
      <c r="OT28" s="157"/>
      <c r="OU28" s="157"/>
      <c r="OV28" s="157"/>
      <c r="OW28" s="157"/>
      <c r="OX28" s="157"/>
      <c r="OY28" s="157"/>
      <c r="OZ28" s="157"/>
      <c r="PA28" s="157"/>
    </row>
    <row r="29" spans="1:417">
      <c r="IT29" s="157"/>
      <c r="IU29" s="157"/>
      <c r="IV29" s="157"/>
      <c r="IW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  <c r="MT29" s="157"/>
      <c r="MU29" s="157"/>
      <c r="MV29" s="157"/>
      <c r="MW29" s="157"/>
      <c r="MX29" s="157"/>
      <c r="MY29" s="157"/>
      <c r="MZ29" s="157"/>
      <c r="NA29" s="157"/>
      <c r="NB29" s="157"/>
      <c r="NC29" s="157"/>
      <c r="ND29" s="157"/>
      <c r="NE29" s="157"/>
      <c r="NF29" s="157"/>
      <c r="NG29" s="157"/>
      <c r="NH29" s="157"/>
      <c r="NI29" s="157"/>
      <c r="NJ29" s="157"/>
      <c r="NK29" s="157"/>
      <c r="NL29" s="157"/>
      <c r="NM29" s="157"/>
      <c r="NN29" s="157"/>
      <c r="NO29" s="157"/>
      <c r="NP29" s="157"/>
      <c r="NQ29" s="157"/>
      <c r="NR29" s="157"/>
      <c r="NS29" s="157"/>
      <c r="NT29" s="157"/>
      <c r="NU29" s="157"/>
      <c r="NV29" s="157"/>
      <c r="NW29" s="157"/>
      <c r="NX29" s="157"/>
      <c r="NY29" s="157"/>
      <c r="NZ29" s="157"/>
      <c r="OA29" s="157"/>
      <c r="OB29" s="157"/>
      <c r="OC29" s="157"/>
      <c r="OD29" s="157"/>
      <c r="OE29" s="157"/>
      <c r="OF29" s="157"/>
      <c r="OG29" s="157"/>
      <c r="OH29" s="157"/>
      <c r="OI29" s="157"/>
      <c r="OJ29" s="157"/>
      <c r="OK29" s="157"/>
      <c r="OL29" s="157"/>
      <c r="OM29" s="157"/>
      <c r="ON29" s="157"/>
      <c r="OO29" s="157"/>
      <c r="OP29" s="157"/>
      <c r="OQ29" s="157"/>
      <c r="OR29" s="157"/>
      <c r="OS29" s="157"/>
      <c r="OT29" s="157"/>
      <c r="OU29" s="157"/>
      <c r="OV29" s="157"/>
      <c r="OW29" s="157"/>
      <c r="OX29" s="157"/>
      <c r="OY29" s="157"/>
      <c r="OZ29" s="157"/>
      <c r="PA29" s="157"/>
    </row>
    <row r="30" spans="1:417">
      <c r="IT30" s="157"/>
      <c r="IU30" s="157"/>
      <c r="IV30" s="157"/>
      <c r="IW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  <c r="MT30" s="157"/>
      <c r="MU30" s="157"/>
      <c r="MV30" s="157"/>
      <c r="MW30" s="157"/>
      <c r="MX30" s="157"/>
      <c r="MY30" s="157"/>
      <c r="MZ30" s="157"/>
      <c r="NA30" s="157"/>
      <c r="NB30" s="157"/>
      <c r="NC30" s="157"/>
      <c r="ND30" s="157"/>
      <c r="NE30" s="157"/>
      <c r="NF30" s="157"/>
      <c r="NG30" s="157"/>
      <c r="NH30" s="157"/>
      <c r="NI30" s="157"/>
      <c r="NJ30" s="157"/>
      <c r="NK30" s="157"/>
      <c r="NL30" s="157"/>
      <c r="NM30" s="157"/>
      <c r="NN30" s="157"/>
      <c r="NO30" s="157"/>
      <c r="NP30" s="157"/>
      <c r="NQ30" s="157"/>
      <c r="NR30" s="157"/>
      <c r="NS30" s="157"/>
      <c r="NT30" s="157"/>
      <c r="NU30" s="157"/>
      <c r="NV30" s="157"/>
      <c r="NW30" s="157"/>
      <c r="NX30" s="157"/>
      <c r="NY30" s="157"/>
      <c r="NZ30" s="157"/>
      <c r="OA30" s="157"/>
      <c r="OB30" s="157"/>
      <c r="OC30" s="157"/>
      <c r="OD30" s="157"/>
      <c r="OE30" s="157"/>
      <c r="OF30" s="157"/>
      <c r="OG30" s="157"/>
      <c r="OH30" s="157"/>
      <c r="OI30" s="157"/>
      <c r="OJ30" s="157"/>
      <c r="OK30" s="157"/>
      <c r="OL30" s="157"/>
      <c r="OM30" s="157"/>
      <c r="ON30" s="157"/>
      <c r="OO30" s="157"/>
      <c r="OP30" s="157"/>
      <c r="OQ30" s="157"/>
      <c r="OR30" s="157"/>
      <c r="OS30" s="157"/>
      <c r="OT30" s="157"/>
      <c r="OU30" s="157"/>
      <c r="OV30" s="157"/>
      <c r="OW30" s="157"/>
      <c r="OX30" s="157"/>
      <c r="OY30" s="157"/>
      <c r="OZ30" s="157"/>
      <c r="PA30" s="157"/>
    </row>
    <row r="31" spans="1:417" ht="51">
      <c r="IT31" s="157"/>
      <c r="IU31" s="157"/>
      <c r="IV31" s="157"/>
      <c r="IW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  <c r="ML31" s="157"/>
      <c r="MM31" s="157"/>
      <c r="MN31" s="157"/>
      <c r="MO31" s="157"/>
      <c r="MP31" s="157"/>
      <c r="MQ31" s="157"/>
      <c r="MR31" s="157"/>
      <c r="MS31" s="157"/>
      <c r="MT31" s="157"/>
      <c r="MU31" s="178" t="s">
        <v>372</v>
      </c>
      <c r="MV31" s="160" t="s">
        <v>182</v>
      </c>
      <c r="MW31" s="160" t="s">
        <v>93</v>
      </c>
      <c r="MX31" s="160" t="s">
        <v>94</v>
      </c>
      <c r="MY31" s="160" t="s">
        <v>179</v>
      </c>
      <c r="MZ31" s="157"/>
      <c r="NA31" s="160" t="s">
        <v>187</v>
      </c>
      <c r="NB31" s="160" t="s">
        <v>188</v>
      </c>
      <c r="NC31" s="160" t="s">
        <v>189</v>
      </c>
      <c r="ND31" s="160" t="s">
        <v>191</v>
      </c>
      <c r="NE31" s="157"/>
      <c r="NF31" s="160" t="s">
        <v>193</v>
      </c>
      <c r="NG31" s="160" t="s">
        <v>99</v>
      </c>
      <c r="NH31" s="160" t="s">
        <v>100</v>
      </c>
      <c r="NI31" s="160" t="s">
        <v>196</v>
      </c>
      <c r="NJ31" s="157"/>
      <c r="NK31" s="157"/>
      <c r="NL31" s="157"/>
      <c r="NM31" s="157"/>
      <c r="NN31" s="157"/>
      <c r="NO31" s="157"/>
      <c r="NP31" s="157"/>
      <c r="NQ31" s="157"/>
      <c r="NR31" s="157"/>
      <c r="NS31" s="157"/>
      <c r="NT31" s="157"/>
      <c r="NU31" s="157"/>
      <c r="NV31" s="157"/>
      <c r="NW31" s="157"/>
      <c r="NX31" s="157"/>
      <c r="NY31" s="157"/>
      <c r="NZ31" s="157"/>
      <c r="OA31" s="157"/>
      <c r="OB31" s="157"/>
      <c r="OC31" s="157"/>
      <c r="OD31" s="157"/>
      <c r="OE31" s="157"/>
      <c r="OF31" s="157"/>
      <c r="OG31" s="157"/>
      <c r="OH31" s="157"/>
      <c r="OI31" s="157"/>
      <c r="OJ31" s="157"/>
      <c r="OK31" s="157"/>
      <c r="OL31" s="157"/>
      <c r="OM31" s="157"/>
      <c r="ON31" s="157"/>
      <c r="OO31" s="157"/>
      <c r="OP31" s="157"/>
      <c r="OQ31" s="157"/>
      <c r="OR31" s="157"/>
      <c r="OS31" s="157"/>
      <c r="OT31" s="157"/>
      <c r="OU31" s="157"/>
      <c r="OV31" s="157"/>
      <c r="OW31" s="157"/>
      <c r="OX31" s="157"/>
      <c r="OY31" s="157"/>
      <c r="OZ31" s="157"/>
      <c r="PA31" s="157"/>
    </row>
    <row r="32" spans="1:417">
      <c r="IT32" s="157"/>
      <c r="IU32" s="157"/>
      <c r="IV32" s="157"/>
      <c r="IW32" s="157"/>
      <c r="IY32" s="157"/>
      <c r="IZ32" s="157"/>
      <c r="JA32" s="157"/>
      <c r="JB32" s="157"/>
      <c r="JC32" s="157"/>
      <c r="JD32" s="157"/>
      <c r="JE32" s="157"/>
      <c r="JF32" s="157"/>
      <c r="JG32" s="157"/>
      <c r="JH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57"/>
      <c r="JY32" s="157"/>
      <c r="JZ32" s="157"/>
      <c r="KA32" s="157"/>
      <c r="KB32" s="157"/>
      <c r="KC32" s="157"/>
      <c r="KD32" s="157"/>
      <c r="KE32" s="157"/>
      <c r="KF32" s="157"/>
      <c r="KG32" s="157"/>
      <c r="KH32" s="157"/>
      <c r="KI32" s="157"/>
      <c r="KJ32" s="157"/>
      <c r="KK32" s="157"/>
      <c r="KL32" s="157"/>
      <c r="KM32" s="157"/>
      <c r="KN32" s="157"/>
      <c r="KO32" s="157"/>
      <c r="KP32" s="157"/>
      <c r="KQ32" s="157"/>
      <c r="KR32" s="157"/>
      <c r="KS32" s="157"/>
      <c r="KT32" s="157"/>
      <c r="KU32" s="157"/>
      <c r="KV32" s="157"/>
      <c r="KW32" s="157"/>
      <c r="KX32" s="157"/>
      <c r="KY32" s="157"/>
      <c r="KZ32" s="157"/>
      <c r="LA32" s="157"/>
      <c r="LB32" s="157"/>
      <c r="LC32" s="157"/>
      <c r="LD32" s="157"/>
      <c r="LE32" s="157"/>
      <c r="LF32" s="157"/>
      <c r="LG32" s="157"/>
      <c r="LH32" s="157"/>
      <c r="LI32" s="157"/>
      <c r="LJ32" s="157"/>
      <c r="LK32" s="157"/>
      <c r="LL32" s="157"/>
      <c r="LM32" s="157"/>
      <c r="LN32" s="157"/>
      <c r="LO32" s="157"/>
      <c r="LP32" s="157"/>
      <c r="LQ32" s="157"/>
      <c r="LR32" s="157"/>
      <c r="LS32" s="157"/>
      <c r="LT32" s="157"/>
      <c r="LU32" s="157"/>
      <c r="LV32" s="157"/>
      <c r="LW32" s="157"/>
      <c r="LX32" s="157"/>
      <c r="LY32" s="157"/>
      <c r="LZ32" s="157"/>
      <c r="MA32" s="157"/>
      <c r="MB32" s="157"/>
      <c r="MC32" s="157"/>
      <c r="MD32" s="157"/>
      <c r="ME32" s="157"/>
      <c r="MF32" s="157"/>
      <c r="MG32" s="157"/>
      <c r="MH32" s="157"/>
      <c r="MI32" s="157"/>
      <c r="MJ32" s="157"/>
      <c r="MK32" s="157"/>
      <c r="ML32" s="157"/>
      <c r="MM32" s="157"/>
      <c r="MN32" s="157"/>
      <c r="MO32" s="157"/>
      <c r="MP32" s="157"/>
      <c r="MQ32" s="157"/>
      <c r="MR32" s="157"/>
      <c r="MS32" s="157"/>
      <c r="MT32" s="157"/>
      <c r="MU32" s="164" t="s">
        <v>81</v>
      </c>
      <c r="MV32" s="162">
        <v>323181</v>
      </c>
      <c r="MW32" s="162">
        <v>14932</v>
      </c>
      <c r="MX32" s="162">
        <v>-12176</v>
      </c>
      <c r="MY32" s="162">
        <v>1742510</v>
      </c>
      <c r="MZ32" s="157"/>
      <c r="NA32" s="162">
        <v>341431</v>
      </c>
      <c r="NB32" s="162">
        <v>55306</v>
      </c>
      <c r="NC32" s="162">
        <v>29132</v>
      </c>
      <c r="ND32" s="162">
        <v>1666780</v>
      </c>
      <c r="NE32" s="157"/>
      <c r="NF32" s="162">
        <v>281247</v>
      </c>
      <c r="NG32" s="162">
        <v>8471</v>
      </c>
      <c r="NH32" s="162">
        <v>-16826</v>
      </c>
      <c r="NI32" s="162">
        <v>1640587</v>
      </c>
      <c r="NJ32" s="157"/>
      <c r="NK32" s="157"/>
      <c r="NL32" s="157"/>
      <c r="NM32" s="157"/>
      <c r="NN32" s="157"/>
      <c r="NO32" s="157"/>
      <c r="NP32" s="157"/>
      <c r="NQ32" s="157"/>
      <c r="NR32" s="157"/>
      <c r="NS32" s="157"/>
      <c r="NT32" s="157"/>
      <c r="NU32" s="157"/>
      <c r="NV32" s="157"/>
      <c r="NW32" s="157"/>
      <c r="NX32" s="157"/>
      <c r="NY32" s="157"/>
      <c r="NZ32" s="157"/>
      <c r="OA32" s="157"/>
      <c r="OB32" s="157"/>
      <c r="OC32" s="157"/>
      <c r="OD32" s="157"/>
      <c r="OE32" s="157"/>
      <c r="OF32" s="157"/>
      <c r="OG32" s="157"/>
      <c r="OH32" s="157"/>
      <c r="OI32" s="157"/>
      <c r="OJ32" s="157"/>
      <c r="OK32" s="157"/>
      <c r="OL32" s="157"/>
      <c r="OM32" s="157"/>
      <c r="ON32" s="157"/>
      <c r="OO32" s="157"/>
      <c r="OP32" s="157"/>
      <c r="OQ32" s="157"/>
      <c r="OR32" s="157"/>
      <c r="OS32" s="157"/>
      <c r="OT32" s="157"/>
      <c r="OU32" s="157"/>
      <c r="OV32" s="157"/>
      <c r="OW32" s="157"/>
      <c r="OX32" s="157"/>
      <c r="OY32" s="157"/>
      <c r="OZ32" s="157"/>
      <c r="PA32" s="157"/>
    </row>
    <row r="33" spans="254:417">
      <c r="IT33" s="157"/>
      <c r="IU33" s="157"/>
      <c r="IV33" s="157"/>
      <c r="IW33" s="157"/>
      <c r="IY33" s="157"/>
      <c r="IZ33" s="157"/>
      <c r="JA33" s="157"/>
      <c r="JB33" s="157"/>
      <c r="JC33" s="157"/>
      <c r="JD33" s="157"/>
      <c r="JE33" s="157"/>
      <c r="JF33" s="157"/>
      <c r="JG33" s="157"/>
      <c r="JH33" s="157"/>
      <c r="JI33" s="157"/>
      <c r="JJ33" s="157"/>
      <c r="JK33" s="157"/>
      <c r="JL33" s="157"/>
      <c r="JM33" s="157"/>
      <c r="JN33" s="157"/>
      <c r="JO33" s="157"/>
      <c r="JP33" s="157"/>
      <c r="JQ33" s="157"/>
      <c r="JR33" s="157"/>
      <c r="JS33" s="157"/>
      <c r="JT33" s="157"/>
      <c r="JU33" s="157"/>
      <c r="JV33" s="157"/>
      <c r="JW33" s="157"/>
      <c r="JX33" s="157"/>
      <c r="JY33" s="157"/>
      <c r="JZ33" s="157"/>
      <c r="KA33" s="157"/>
      <c r="KB33" s="157"/>
      <c r="KC33" s="157"/>
      <c r="KD33" s="157"/>
      <c r="KE33" s="157"/>
      <c r="KF33" s="157"/>
      <c r="KG33" s="157"/>
      <c r="KH33" s="157"/>
      <c r="KI33" s="157"/>
      <c r="KJ33" s="157"/>
      <c r="KK33" s="157"/>
      <c r="KL33" s="157"/>
      <c r="KM33" s="157"/>
      <c r="KN33" s="157"/>
      <c r="KO33" s="157"/>
      <c r="KP33" s="157"/>
      <c r="KQ33" s="157"/>
      <c r="KR33" s="157"/>
      <c r="KS33" s="157"/>
      <c r="KT33" s="157"/>
      <c r="KU33" s="157"/>
      <c r="KV33" s="157"/>
      <c r="KW33" s="157"/>
      <c r="KX33" s="157"/>
      <c r="KY33" s="157"/>
      <c r="KZ33" s="157"/>
      <c r="LA33" s="157"/>
      <c r="LB33" s="157"/>
      <c r="LC33" s="157"/>
      <c r="LD33" s="157"/>
      <c r="LE33" s="157"/>
      <c r="LF33" s="157"/>
      <c r="LG33" s="157"/>
      <c r="LH33" s="157"/>
      <c r="LI33" s="157"/>
      <c r="LJ33" s="157"/>
      <c r="LK33" s="157"/>
      <c r="LL33" s="157"/>
      <c r="LM33" s="157"/>
      <c r="LN33" s="157"/>
      <c r="LO33" s="157"/>
      <c r="LP33" s="157"/>
      <c r="LQ33" s="157"/>
      <c r="LR33" s="157"/>
      <c r="LS33" s="157"/>
      <c r="LT33" s="157"/>
      <c r="LU33" s="157"/>
      <c r="LV33" s="157"/>
      <c r="LW33" s="157"/>
      <c r="LX33" s="157"/>
      <c r="LY33" s="157"/>
      <c r="LZ33" s="157"/>
      <c r="MA33" s="157"/>
      <c r="MB33" s="157"/>
      <c r="MC33" s="157"/>
      <c r="MD33" s="157"/>
      <c r="ME33" s="157"/>
      <c r="MF33" s="157"/>
      <c r="MG33" s="157"/>
      <c r="MH33" s="157"/>
      <c r="MI33" s="157"/>
      <c r="MJ33" s="157"/>
      <c r="MK33" s="157"/>
      <c r="ML33" s="157"/>
      <c r="MM33" s="157"/>
      <c r="MN33" s="157"/>
      <c r="MO33" s="157"/>
      <c r="MP33" s="157"/>
      <c r="MQ33" s="157"/>
      <c r="MR33" s="157"/>
      <c r="MS33" s="157"/>
      <c r="MT33" s="157"/>
      <c r="MU33" s="163" t="s">
        <v>82</v>
      </c>
      <c r="MV33" s="156">
        <v>913384</v>
      </c>
      <c r="MW33" s="156">
        <v>51694</v>
      </c>
      <c r="MX33" s="156">
        <v>-34993</v>
      </c>
      <c r="MY33" s="180">
        <v>8393127</v>
      </c>
      <c r="MZ33" s="157"/>
      <c r="NA33" s="156">
        <v>832114</v>
      </c>
      <c r="NB33" s="156">
        <v>73153</v>
      </c>
      <c r="NC33" s="156">
        <v>-43546</v>
      </c>
      <c r="ND33" s="180">
        <v>7636136</v>
      </c>
      <c r="NE33" s="157"/>
      <c r="NF33" s="156">
        <v>716925</v>
      </c>
      <c r="NG33" s="156">
        <v>59507</v>
      </c>
      <c r="NH33" s="156">
        <v>-58572</v>
      </c>
      <c r="NI33" s="180">
        <v>7741435</v>
      </c>
      <c r="NJ33" s="157"/>
      <c r="NK33" s="157"/>
      <c r="NL33" s="157"/>
      <c r="NM33" s="157"/>
      <c r="NN33" s="157"/>
      <c r="NO33" s="157"/>
      <c r="NP33" s="157"/>
      <c r="NQ33" s="157"/>
      <c r="NR33" s="157"/>
      <c r="NS33" s="157"/>
      <c r="NT33" s="157"/>
      <c r="NU33" s="157"/>
      <c r="NV33" s="157"/>
      <c r="NW33" s="157"/>
      <c r="NX33" s="157"/>
      <c r="NY33" s="157"/>
      <c r="NZ33" s="157"/>
      <c r="OA33" s="157"/>
      <c r="OB33" s="157"/>
      <c r="OC33" s="157"/>
      <c r="OD33" s="157"/>
      <c r="OE33" s="157"/>
      <c r="OF33" s="157"/>
      <c r="OG33" s="157"/>
      <c r="OH33" s="157"/>
      <c r="OI33" s="157"/>
      <c r="OJ33" s="157"/>
      <c r="OK33" s="157"/>
      <c r="OL33" s="157"/>
      <c r="OM33" s="157"/>
      <c r="ON33" s="157"/>
      <c r="OO33" s="157"/>
      <c r="OP33" s="157"/>
      <c r="OQ33" s="157"/>
      <c r="OR33" s="157"/>
      <c r="OS33" s="157"/>
      <c r="OT33" s="157"/>
      <c r="OU33" s="157"/>
      <c r="OV33" s="157"/>
      <c r="OW33" s="157"/>
      <c r="OX33" s="157"/>
      <c r="OY33" s="157"/>
      <c r="OZ33" s="157"/>
      <c r="PA33" s="157"/>
    </row>
    <row r="34" spans="254:417">
      <c r="IT34" s="157"/>
      <c r="IU34" s="157"/>
      <c r="IV34" s="157"/>
      <c r="IW34" s="157"/>
      <c r="IY34" s="157"/>
      <c r="IZ34" s="157"/>
      <c r="JA34" s="157"/>
      <c r="JB34" s="157"/>
      <c r="JC34" s="157"/>
      <c r="JD34" s="157"/>
      <c r="JE34" s="157"/>
      <c r="JF34" s="157"/>
      <c r="JG34" s="157"/>
      <c r="JH34" s="157"/>
      <c r="JI34" s="157"/>
      <c r="JJ34" s="157"/>
      <c r="JK34" s="157"/>
      <c r="JL34" s="157"/>
      <c r="JM34" s="157"/>
      <c r="JN34" s="157"/>
      <c r="JO34" s="157"/>
      <c r="JP34" s="157"/>
      <c r="JQ34" s="157"/>
      <c r="JR34" s="157"/>
      <c r="JS34" s="157"/>
      <c r="JT34" s="157"/>
      <c r="JU34" s="157"/>
      <c r="JV34" s="157"/>
      <c r="JW34" s="157"/>
      <c r="JX34" s="157"/>
      <c r="JY34" s="157"/>
      <c r="JZ34" s="157"/>
      <c r="KA34" s="157"/>
      <c r="KB34" s="157"/>
      <c r="KC34" s="157"/>
      <c r="KD34" s="157"/>
      <c r="KE34" s="157"/>
      <c r="KF34" s="157"/>
      <c r="KG34" s="157"/>
      <c r="KH34" s="157"/>
      <c r="KI34" s="157"/>
      <c r="KJ34" s="157"/>
      <c r="KK34" s="157"/>
      <c r="KL34" s="157"/>
      <c r="KM34" s="157"/>
      <c r="KN34" s="157"/>
      <c r="KO34" s="157"/>
      <c r="KP34" s="157"/>
      <c r="KQ34" s="157"/>
      <c r="KR34" s="157"/>
      <c r="KS34" s="157"/>
      <c r="KT34" s="157"/>
      <c r="KU34" s="157"/>
      <c r="KV34" s="157"/>
      <c r="KW34" s="157"/>
      <c r="KX34" s="157"/>
      <c r="KY34" s="157"/>
      <c r="KZ34" s="157"/>
      <c r="LA34" s="157"/>
      <c r="LB34" s="157"/>
      <c r="LC34" s="157"/>
      <c r="LD34" s="157"/>
      <c r="LE34" s="157"/>
      <c r="LF34" s="157"/>
      <c r="LG34" s="157"/>
      <c r="LH34" s="157"/>
      <c r="LI34" s="157"/>
      <c r="LJ34" s="157"/>
      <c r="LK34" s="157"/>
      <c r="LL34" s="157"/>
      <c r="LM34" s="157"/>
      <c r="LN34" s="157"/>
      <c r="LO34" s="157"/>
      <c r="LP34" s="157"/>
      <c r="LQ34" s="157"/>
      <c r="LR34" s="157"/>
      <c r="LS34" s="157"/>
      <c r="LT34" s="157"/>
      <c r="LU34" s="157"/>
      <c r="LV34" s="157"/>
      <c r="LW34" s="157"/>
      <c r="LX34" s="157"/>
      <c r="LY34" s="157"/>
      <c r="LZ34" s="157"/>
      <c r="MA34" s="157"/>
      <c r="MB34" s="157"/>
      <c r="MC34" s="157"/>
      <c r="MD34" s="157"/>
      <c r="ME34" s="157"/>
      <c r="MF34" s="157"/>
      <c r="MG34" s="157"/>
      <c r="MH34" s="157"/>
      <c r="MI34" s="157"/>
      <c r="MJ34" s="157"/>
      <c r="MK34" s="157"/>
      <c r="ML34" s="157"/>
      <c r="MM34" s="157"/>
      <c r="MN34" s="157"/>
      <c r="MO34" s="157"/>
      <c r="MP34" s="157"/>
      <c r="MQ34" s="157"/>
      <c r="MR34" s="157"/>
      <c r="MS34" s="157"/>
      <c r="MT34" s="157"/>
      <c r="MU34" s="163" t="s">
        <v>83</v>
      </c>
      <c r="MV34" s="156">
        <v>65019</v>
      </c>
      <c r="MW34" s="156">
        <v>37748</v>
      </c>
      <c r="MX34" s="156">
        <v>20234</v>
      </c>
      <c r="MY34" s="180">
        <v>1985920</v>
      </c>
      <c r="MZ34" s="157"/>
      <c r="NA34" s="156">
        <v>71079</v>
      </c>
      <c r="NB34" s="156">
        <v>45702</v>
      </c>
      <c r="NC34" s="156">
        <v>25694</v>
      </c>
      <c r="ND34" s="180">
        <v>1929270</v>
      </c>
      <c r="NE34" s="157"/>
      <c r="NF34" s="156">
        <v>64784</v>
      </c>
      <c r="NG34" s="156">
        <v>40730</v>
      </c>
      <c r="NH34" s="156">
        <v>20707</v>
      </c>
      <c r="NI34" s="180">
        <v>1929486</v>
      </c>
      <c r="NJ34" s="157"/>
      <c r="NK34" s="157"/>
      <c r="NL34" s="157"/>
      <c r="NM34" s="157"/>
      <c r="NN34" s="157"/>
      <c r="NO34" s="157"/>
      <c r="NP34" s="157"/>
      <c r="NQ34" s="157"/>
      <c r="NR34" s="157"/>
      <c r="NS34" s="157"/>
      <c r="NT34" s="157"/>
      <c r="NU34" s="157"/>
      <c r="NV34" s="157"/>
      <c r="NW34" s="157"/>
      <c r="NX34" s="157"/>
      <c r="NY34" s="157"/>
      <c r="NZ34" s="157"/>
      <c r="OA34" s="157"/>
      <c r="OB34" s="157"/>
      <c r="OC34" s="157"/>
      <c r="OD34" s="157"/>
      <c r="OE34" s="157"/>
      <c r="OF34" s="157"/>
      <c r="OG34" s="157"/>
      <c r="OH34" s="157"/>
      <c r="OI34" s="157"/>
      <c r="OJ34" s="157"/>
      <c r="OK34" s="157"/>
      <c r="OL34" s="157"/>
      <c r="OM34" s="157"/>
      <c r="ON34" s="157"/>
      <c r="OO34" s="157"/>
      <c r="OP34" s="157"/>
      <c r="OQ34" s="157"/>
      <c r="OR34" s="157"/>
      <c r="OS34" s="157"/>
      <c r="OT34" s="157"/>
      <c r="OU34" s="157"/>
      <c r="OV34" s="157"/>
      <c r="OW34" s="157"/>
      <c r="OX34" s="157"/>
      <c r="OY34" s="157"/>
      <c r="OZ34" s="157"/>
      <c r="PA34" s="157"/>
    </row>
    <row r="35" spans="254:417">
      <c r="IT35" s="157"/>
      <c r="IU35" s="157"/>
      <c r="IV35" s="157"/>
      <c r="IW35" s="157"/>
      <c r="IY35" s="157"/>
      <c r="IZ35" s="157"/>
      <c r="JA35" s="157"/>
      <c r="JB35" s="157"/>
      <c r="JC35" s="157"/>
      <c r="JD35" s="157"/>
      <c r="JE35" s="157"/>
      <c r="JF35" s="157"/>
      <c r="JG35" s="157"/>
      <c r="JH35" s="157"/>
      <c r="JI35" s="157"/>
      <c r="JJ35" s="157"/>
      <c r="JK35" s="157"/>
      <c r="JL35" s="157"/>
      <c r="JM35" s="157"/>
      <c r="JN35" s="157"/>
      <c r="JO35" s="157"/>
      <c r="JP35" s="157"/>
      <c r="JQ35" s="157"/>
      <c r="JR35" s="157"/>
      <c r="JS35" s="157"/>
      <c r="JT35" s="157"/>
      <c r="JU35" s="157"/>
      <c r="JV35" s="157"/>
      <c r="JW35" s="157"/>
      <c r="JX35" s="157"/>
      <c r="JY35" s="157"/>
      <c r="JZ35" s="157"/>
      <c r="KA35" s="157"/>
      <c r="KB35" s="157"/>
      <c r="KC35" s="157"/>
      <c r="KD35" s="157"/>
      <c r="KE35" s="157"/>
      <c r="KF35" s="157"/>
      <c r="KG35" s="157"/>
      <c r="KH35" s="157"/>
      <c r="KI35" s="157"/>
      <c r="KJ35" s="157"/>
      <c r="KK35" s="157"/>
      <c r="KL35" s="157"/>
      <c r="KM35" s="157"/>
      <c r="KN35" s="157"/>
      <c r="KO35" s="157"/>
      <c r="KP35" s="157"/>
      <c r="KQ35" s="157"/>
      <c r="KR35" s="157"/>
      <c r="KS35" s="157"/>
      <c r="KT35" s="157"/>
      <c r="KU35" s="157"/>
      <c r="KV35" s="157"/>
      <c r="KW35" s="157"/>
      <c r="KX35" s="157"/>
      <c r="KY35" s="157"/>
      <c r="KZ35" s="157"/>
      <c r="LA35" s="157"/>
      <c r="LB35" s="157"/>
      <c r="LC35" s="157"/>
      <c r="LD35" s="157"/>
      <c r="LE35" s="157"/>
      <c r="LF35" s="157"/>
      <c r="LG35" s="157"/>
      <c r="LH35" s="157"/>
      <c r="LI35" s="157"/>
      <c r="LJ35" s="157"/>
      <c r="LK35" s="157"/>
      <c r="LL35" s="157"/>
      <c r="LM35" s="157"/>
      <c r="LN35" s="157"/>
      <c r="LO35" s="157"/>
      <c r="LP35" s="157"/>
      <c r="LQ35" s="157"/>
      <c r="LR35" s="157"/>
      <c r="LS35" s="157"/>
      <c r="LT35" s="157"/>
      <c r="LU35" s="157"/>
      <c r="LV35" s="157"/>
      <c r="LW35" s="157"/>
      <c r="LX35" s="157"/>
      <c r="LY35" s="157"/>
      <c r="LZ35" s="157"/>
      <c r="MA35" s="157"/>
      <c r="MB35" s="157"/>
      <c r="MC35" s="157"/>
      <c r="MD35" s="157"/>
      <c r="ME35" s="157"/>
      <c r="MF35" s="157"/>
      <c r="MG35" s="157"/>
      <c r="MH35" s="157"/>
      <c r="MI35" s="157"/>
      <c r="MJ35" s="157"/>
      <c r="MK35" s="157"/>
      <c r="ML35" s="157"/>
      <c r="MM35" s="157"/>
      <c r="MN35" s="157"/>
      <c r="MO35" s="157"/>
      <c r="MP35" s="157"/>
      <c r="MQ35" s="157"/>
      <c r="MR35" s="157"/>
      <c r="MS35" s="157"/>
      <c r="MT35" s="157"/>
      <c r="MU35" s="163" t="s">
        <v>84</v>
      </c>
      <c r="MV35" s="156">
        <v>388456</v>
      </c>
      <c r="MW35" s="156">
        <v>126605</v>
      </c>
      <c r="MX35" s="156">
        <v>87607</v>
      </c>
      <c r="MY35" s="156">
        <v>2781001</v>
      </c>
      <c r="MZ35" s="157"/>
      <c r="NA35" s="156">
        <v>249121</v>
      </c>
      <c r="NB35" s="156">
        <v>16576</v>
      </c>
      <c r="NC35" s="156">
        <v>-21324</v>
      </c>
      <c r="ND35" s="156">
        <v>3101958</v>
      </c>
      <c r="NE35" s="157"/>
      <c r="NF35" s="156">
        <v>291077</v>
      </c>
      <c r="NG35" s="156">
        <v>36257</v>
      </c>
      <c r="NH35" s="156">
        <v>-325</v>
      </c>
      <c r="NI35" s="156">
        <v>2962505</v>
      </c>
      <c r="NJ35" s="157"/>
      <c r="NK35" s="157"/>
      <c r="NL35" s="157"/>
      <c r="NM35" s="157"/>
      <c r="NN35" s="157"/>
      <c r="NO35" s="157"/>
      <c r="NP35" s="157"/>
      <c r="NQ35" s="157"/>
      <c r="NR35" s="157"/>
      <c r="NS35" s="157"/>
      <c r="NT35" s="157"/>
      <c r="NU35" s="157"/>
      <c r="NV35" s="157"/>
      <c r="NW35" s="157"/>
      <c r="NX35" s="157"/>
      <c r="NY35" s="157"/>
      <c r="NZ35" s="157"/>
      <c r="OA35" s="157"/>
      <c r="OB35" s="157"/>
      <c r="OC35" s="157"/>
      <c r="OD35" s="157"/>
      <c r="OE35" s="157"/>
      <c r="OF35" s="157"/>
      <c r="OG35" s="157"/>
      <c r="OH35" s="157"/>
      <c r="OI35" s="157"/>
      <c r="OJ35" s="157"/>
      <c r="OK35" s="157"/>
      <c r="OL35" s="157"/>
      <c r="OM35" s="157"/>
      <c r="ON35" s="157"/>
      <c r="OO35" s="157"/>
      <c r="OP35" s="157"/>
      <c r="OQ35" s="157"/>
      <c r="OR35" s="157"/>
      <c r="OS35" s="157"/>
      <c r="OT35" s="157"/>
      <c r="OU35" s="157"/>
      <c r="OV35" s="157"/>
      <c r="OW35" s="157"/>
      <c r="OX35" s="157"/>
      <c r="OY35" s="157"/>
      <c r="OZ35" s="157"/>
      <c r="PA35" s="157"/>
    </row>
    <row r="36" spans="254:417">
      <c r="IT36" s="157"/>
      <c r="IU36" s="157"/>
      <c r="IV36" s="157"/>
      <c r="IW36" s="157"/>
      <c r="IY36" s="157"/>
      <c r="IZ36" s="157"/>
      <c r="JA36" s="157"/>
      <c r="JB36" s="157"/>
      <c r="JC36" s="157"/>
      <c r="JD36" s="157"/>
      <c r="JE36" s="157"/>
      <c r="JF36" s="157"/>
      <c r="JG36" s="157"/>
      <c r="JH36" s="157"/>
      <c r="JI36" s="157"/>
      <c r="JJ36" s="157"/>
      <c r="JK36" s="157"/>
      <c r="JL36" s="157"/>
      <c r="JM36" s="157"/>
      <c r="JN36" s="157"/>
      <c r="JO36" s="157"/>
      <c r="JP36" s="157"/>
      <c r="JQ36" s="157"/>
      <c r="JR36" s="157"/>
      <c r="JS36" s="157"/>
      <c r="JT36" s="157"/>
      <c r="JU36" s="157"/>
      <c r="JV36" s="157"/>
      <c r="JW36" s="157"/>
      <c r="JX36" s="157"/>
      <c r="JY36" s="157"/>
      <c r="JZ36" s="157"/>
      <c r="KA36" s="157"/>
      <c r="KB36" s="157"/>
      <c r="KC36" s="157"/>
      <c r="KD36" s="157"/>
      <c r="KE36" s="157"/>
      <c r="KF36" s="157"/>
      <c r="KG36" s="157"/>
      <c r="KH36" s="157"/>
      <c r="KI36" s="157"/>
      <c r="KJ36" s="157"/>
      <c r="KK36" s="157"/>
      <c r="KL36" s="157"/>
      <c r="KM36" s="157"/>
      <c r="KN36" s="157"/>
      <c r="KO36" s="157"/>
      <c r="KP36" s="157"/>
      <c r="KQ36" s="157"/>
      <c r="KR36" s="157"/>
      <c r="KS36" s="157"/>
      <c r="KT36" s="157"/>
      <c r="KU36" s="157"/>
      <c r="KV36" s="157"/>
      <c r="KW36" s="157"/>
      <c r="KX36" s="157"/>
      <c r="KY36" s="157"/>
      <c r="KZ36" s="157"/>
      <c r="LA36" s="157"/>
      <c r="LB36" s="157"/>
      <c r="LC36" s="157"/>
      <c r="LD36" s="157"/>
      <c r="LE36" s="157"/>
      <c r="LF36" s="157"/>
      <c r="LG36" s="157"/>
      <c r="LH36" s="157"/>
      <c r="LI36" s="157"/>
      <c r="LJ36" s="157"/>
      <c r="LK36" s="157"/>
      <c r="LL36" s="157"/>
      <c r="LM36" s="157"/>
      <c r="LN36" s="157"/>
      <c r="LO36" s="157"/>
      <c r="LP36" s="157"/>
      <c r="LQ36" s="157"/>
      <c r="LR36" s="157"/>
      <c r="LS36" s="157"/>
      <c r="LT36" s="157"/>
      <c r="LU36" s="157"/>
      <c r="LV36" s="157"/>
      <c r="LW36" s="157"/>
      <c r="LX36" s="157"/>
      <c r="LY36" s="157"/>
      <c r="LZ36" s="157"/>
      <c r="MA36" s="157"/>
      <c r="MB36" s="157"/>
      <c r="MC36" s="157"/>
      <c r="MD36" s="157"/>
      <c r="ME36" s="157"/>
      <c r="MF36" s="157"/>
      <c r="MG36" s="157"/>
      <c r="MH36" s="157"/>
      <c r="MI36" s="157"/>
      <c r="MJ36" s="157"/>
      <c r="MK36" s="157"/>
      <c r="ML36" s="157"/>
      <c r="MM36" s="157"/>
      <c r="MN36" s="157"/>
      <c r="MO36" s="157"/>
      <c r="MP36" s="157"/>
      <c r="MQ36" s="157"/>
      <c r="MR36" s="157"/>
      <c r="MS36" s="157"/>
      <c r="MT36" s="157"/>
      <c r="MU36" s="163" t="s">
        <v>85</v>
      </c>
      <c r="MV36" s="156">
        <v>1545835</v>
      </c>
      <c r="MW36" s="156">
        <v>379296</v>
      </c>
      <c r="MX36" s="156">
        <v>138507</v>
      </c>
      <c r="MY36" s="180">
        <v>15012125</v>
      </c>
      <c r="MZ36" s="157"/>
      <c r="NA36" s="156">
        <v>1479860</v>
      </c>
      <c r="NB36" s="156">
        <v>608152</v>
      </c>
      <c r="NC36" s="156">
        <v>370825</v>
      </c>
      <c r="ND36" s="180">
        <v>14581007</v>
      </c>
      <c r="NE36" s="157"/>
      <c r="NF36" s="156">
        <v>1490614</v>
      </c>
      <c r="NG36" s="156">
        <v>612000</v>
      </c>
      <c r="NH36" s="156">
        <v>376007</v>
      </c>
      <c r="NI36" s="180">
        <v>14377042</v>
      </c>
      <c r="NJ36" s="157"/>
      <c r="NK36" s="157"/>
      <c r="NL36" s="157"/>
      <c r="NM36" s="157"/>
      <c r="NN36" s="157"/>
      <c r="NO36" s="157"/>
      <c r="NP36" s="157"/>
      <c r="NQ36" s="157"/>
      <c r="NR36" s="157"/>
      <c r="NS36" s="157"/>
      <c r="NT36" s="157"/>
      <c r="NU36" s="157"/>
      <c r="NV36" s="157"/>
      <c r="NW36" s="157"/>
      <c r="NX36" s="157"/>
      <c r="NY36" s="157"/>
      <c r="NZ36" s="157"/>
      <c r="OA36" s="157"/>
      <c r="OB36" s="157"/>
      <c r="OC36" s="157"/>
      <c r="OD36" s="157"/>
      <c r="OE36" s="157"/>
      <c r="OF36" s="157"/>
      <c r="OG36" s="157"/>
      <c r="OH36" s="157"/>
      <c r="OI36" s="157"/>
      <c r="OJ36" s="157"/>
      <c r="OK36" s="157"/>
      <c r="OL36" s="157"/>
      <c r="OM36" s="157"/>
      <c r="ON36" s="157"/>
      <c r="OO36" s="157"/>
      <c r="OP36" s="157"/>
      <c r="OQ36" s="157"/>
      <c r="OR36" s="157"/>
      <c r="OS36" s="157"/>
      <c r="OT36" s="157"/>
      <c r="OU36" s="157"/>
      <c r="OV36" s="157"/>
      <c r="OW36" s="157"/>
      <c r="OX36" s="157"/>
      <c r="OY36" s="157"/>
      <c r="OZ36" s="157"/>
      <c r="PA36" s="157"/>
    </row>
    <row r="37" spans="254:417">
      <c r="IT37" s="157"/>
      <c r="IU37" s="157"/>
      <c r="IV37" s="157"/>
      <c r="IW37" s="157"/>
      <c r="IY37" s="157"/>
      <c r="IZ37" s="157"/>
      <c r="JA37" s="157"/>
      <c r="JB37" s="157"/>
      <c r="JC37" s="157"/>
      <c r="JD37" s="157"/>
      <c r="JE37" s="157"/>
      <c r="JF37" s="157"/>
      <c r="JG37" s="157"/>
      <c r="JH37" s="157"/>
      <c r="JI37" s="157"/>
      <c r="JJ37" s="157"/>
      <c r="JK37" s="157"/>
      <c r="JL37" s="157"/>
      <c r="JM37" s="157"/>
      <c r="JN37" s="157"/>
      <c r="JO37" s="157"/>
      <c r="JP37" s="157"/>
      <c r="JQ37" s="157"/>
      <c r="JR37" s="157"/>
      <c r="JS37" s="157"/>
      <c r="JT37" s="157"/>
      <c r="JU37" s="157"/>
      <c r="JV37" s="157"/>
      <c r="JW37" s="157"/>
      <c r="JX37" s="157"/>
      <c r="JY37" s="157"/>
      <c r="JZ37" s="157"/>
      <c r="KA37" s="157"/>
      <c r="KB37" s="157"/>
      <c r="KC37" s="157"/>
      <c r="KD37" s="157"/>
      <c r="KE37" s="157"/>
      <c r="KF37" s="157"/>
      <c r="KG37" s="157"/>
      <c r="KH37" s="157"/>
      <c r="KI37" s="157"/>
      <c r="KJ37" s="157"/>
      <c r="KK37" s="157"/>
      <c r="KL37" s="157"/>
      <c r="KM37" s="157"/>
      <c r="KN37" s="157"/>
      <c r="KO37" s="157"/>
      <c r="KP37" s="157"/>
      <c r="KQ37" s="157"/>
      <c r="KR37" s="157"/>
      <c r="KS37" s="157"/>
      <c r="KT37" s="157"/>
      <c r="KU37" s="157"/>
      <c r="KV37" s="157"/>
      <c r="KW37" s="157"/>
      <c r="KX37" s="157"/>
      <c r="KY37" s="157"/>
      <c r="KZ37" s="157"/>
      <c r="LA37" s="157"/>
      <c r="LB37" s="157"/>
      <c r="LC37" s="157"/>
      <c r="LD37" s="157"/>
      <c r="LE37" s="157"/>
      <c r="LF37" s="157"/>
      <c r="LG37" s="157"/>
      <c r="LH37" s="157"/>
      <c r="LI37" s="157"/>
      <c r="LJ37" s="157"/>
      <c r="LK37" s="157"/>
      <c r="LL37" s="157"/>
      <c r="LM37" s="157"/>
      <c r="LN37" s="157"/>
      <c r="LO37" s="157"/>
      <c r="LP37" s="157"/>
      <c r="LQ37" s="157"/>
      <c r="LR37" s="157"/>
      <c r="LS37" s="157"/>
      <c r="LT37" s="157"/>
      <c r="LU37" s="157"/>
      <c r="LV37" s="157"/>
      <c r="LW37" s="157"/>
      <c r="LX37" s="157"/>
      <c r="LY37" s="157"/>
      <c r="LZ37" s="157"/>
      <c r="MA37" s="157"/>
      <c r="MB37" s="157"/>
      <c r="MC37" s="157"/>
      <c r="MD37" s="157"/>
      <c r="ME37" s="157"/>
      <c r="MF37" s="157"/>
      <c r="MG37" s="157"/>
      <c r="MH37" s="157"/>
      <c r="MI37" s="157"/>
      <c r="MJ37" s="157"/>
      <c r="MK37" s="157"/>
      <c r="ML37" s="157"/>
      <c r="MM37" s="157"/>
      <c r="MN37" s="157"/>
      <c r="MO37" s="157"/>
      <c r="MP37" s="157"/>
      <c r="MQ37" s="157"/>
      <c r="MR37" s="157"/>
      <c r="MS37" s="157"/>
      <c r="MT37" s="157"/>
      <c r="MU37" s="163" t="s">
        <v>86</v>
      </c>
      <c r="MV37" s="156">
        <v>4010459</v>
      </c>
      <c r="MW37" s="156">
        <v>106749</v>
      </c>
      <c r="MX37" s="156">
        <v>103508</v>
      </c>
      <c r="MY37" s="180">
        <v>3715551</v>
      </c>
      <c r="MZ37" s="157"/>
      <c r="NA37" s="156">
        <v>3691883</v>
      </c>
      <c r="NB37" s="156">
        <v>109830</v>
      </c>
      <c r="NC37" s="156">
        <v>105291</v>
      </c>
      <c r="ND37" s="180">
        <v>2413083</v>
      </c>
      <c r="NE37" s="157"/>
      <c r="NF37" s="156">
        <v>3479108</v>
      </c>
      <c r="NG37" s="156">
        <v>153290</v>
      </c>
      <c r="NH37" s="156">
        <v>144543</v>
      </c>
      <c r="NI37" s="180">
        <v>2040729</v>
      </c>
      <c r="NJ37" s="157"/>
      <c r="NK37" s="157"/>
      <c r="NL37" s="157"/>
      <c r="NM37" s="157"/>
      <c r="NN37" s="157"/>
      <c r="NO37" s="157"/>
      <c r="NP37" s="157"/>
      <c r="NQ37" s="157"/>
      <c r="NR37" s="157"/>
      <c r="NS37" s="157"/>
      <c r="NT37" s="157"/>
      <c r="NU37" s="157"/>
      <c r="NV37" s="157"/>
      <c r="NW37" s="157"/>
      <c r="NX37" s="157"/>
      <c r="NY37" s="157"/>
      <c r="NZ37" s="157"/>
      <c r="OA37" s="157"/>
      <c r="OB37" s="157"/>
      <c r="OC37" s="157"/>
      <c r="OD37" s="157"/>
      <c r="OE37" s="157"/>
      <c r="OF37" s="157"/>
      <c r="OG37" s="157"/>
      <c r="OH37" s="157"/>
      <c r="OI37" s="157"/>
      <c r="OJ37" s="157"/>
      <c r="OK37" s="157"/>
      <c r="OL37" s="157"/>
      <c r="OM37" s="157"/>
      <c r="ON37" s="157"/>
      <c r="OO37" s="157"/>
      <c r="OP37" s="157"/>
      <c r="OQ37" s="157"/>
      <c r="OR37" s="157"/>
      <c r="OS37" s="157"/>
      <c r="OT37" s="157"/>
      <c r="OU37" s="157"/>
      <c r="OV37" s="157"/>
      <c r="OW37" s="157"/>
      <c r="OX37" s="157"/>
      <c r="OY37" s="157"/>
      <c r="OZ37" s="157"/>
      <c r="PA37" s="157"/>
    </row>
    <row r="38" spans="254:417">
      <c r="IT38" s="157"/>
      <c r="IU38" s="157"/>
      <c r="IV38" s="157"/>
      <c r="IW38" s="157"/>
      <c r="IY38" s="157"/>
      <c r="IZ38" s="157"/>
      <c r="JA38" s="157"/>
      <c r="JB38" s="157"/>
      <c r="JC38" s="157"/>
      <c r="JD38" s="157"/>
      <c r="JE38" s="157"/>
      <c r="JF38" s="157"/>
      <c r="JG38" s="157"/>
      <c r="JH38" s="157"/>
      <c r="JI38" s="157"/>
      <c r="JJ38" s="157"/>
      <c r="JK38" s="157"/>
      <c r="JL38" s="157"/>
      <c r="JM38" s="157"/>
      <c r="JN38" s="157"/>
      <c r="JO38" s="157"/>
      <c r="JP38" s="157"/>
      <c r="JQ38" s="157"/>
      <c r="JR38" s="157"/>
      <c r="JS38" s="157"/>
      <c r="JT38" s="157"/>
      <c r="JU38" s="157"/>
      <c r="JV38" s="157"/>
      <c r="JW38" s="157"/>
      <c r="JX38" s="157"/>
      <c r="JY38" s="157"/>
      <c r="JZ38" s="157"/>
      <c r="KA38" s="157"/>
      <c r="KB38" s="157"/>
      <c r="KC38" s="157"/>
      <c r="KD38" s="157"/>
      <c r="KE38" s="157"/>
      <c r="KF38" s="157"/>
      <c r="KG38" s="157"/>
      <c r="KH38" s="157"/>
      <c r="KI38" s="157"/>
      <c r="KJ38" s="157"/>
      <c r="KK38" s="157"/>
      <c r="KL38" s="157"/>
      <c r="KM38" s="157"/>
      <c r="KN38" s="157"/>
      <c r="KO38" s="157"/>
      <c r="KP38" s="157"/>
      <c r="KQ38" s="157"/>
      <c r="KR38" s="157"/>
      <c r="KS38" s="157"/>
      <c r="KT38" s="157"/>
      <c r="KU38" s="157"/>
      <c r="KV38" s="157"/>
      <c r="KW38" s="157"/>
      <c r="KX38" s="157"/>
      <c r="KY38" s="157"/>
      <c r="KZ38" s="157"/>
      <c r="LA38" s="157"/>
      <c r="LB38" s="157"/>
      <c r="LC38" s="157"/>
      <c r="LD38" s="157"/>
      <c r="LE38" s="157"/>
      <c r="LF38" s="157"/>
      <c r="LG38" s="157"/>
      <c r="LH38" s="157"/>
      <c r="LI38" s="157"/>
      <c r="LJ38" s="157"/>
      <c r="LK38" s="157"/>
      <c r="LL38" s="157"/>
      <c r="LM38" s="157"/>
      <c r="LN38" s="157"/>
      <c r="LO38" s="157"/>
      <c r="LP38" s="157"/>
      <c r="LQ38" s="157"/>
      <c r="LR38" s="157"/>
      <c r="LS38" s="157"/>
      <c r="LT38" s="157"/>
      <c r="LU38" s="157"/>
      <c r="LV38" s="157"/>
      <c r="LW38" s="157"/>
      <c r="LX38" s="157"/>
      <c r="LY38" s="157"/>
      <c r="LZ38" s="157"/>
      <c r="MA38" s="157"/>
      <c r="MB38" s="157"/>
      <c r="MC38" s="157"/>
      <c r="MD38" s="157"/>
      <c r="ME38" s="157"/>
      <c r="MF38" s="157"/>
      <c r="MG38" s="157"/>
      <c r="MH38" s="157"/>
      <c r="MI38" s="157"/>
      <c r="MJ38" s="157"/>
      <c r="MK38" s="157"/>
      <c r="ML38" s="157"/>
      <c r="MM38" s="157"/>
      <c r="MN38" s="157"/>
      <c r="MO38" s="157"/>
      <c r="MP38" s="157"/>
      <c r="MQ38" s="157"/>
      <c r="MR38" s="157"/>
      <c r="MS38" s="157"/>
      <c r="MT38" s="157"/>
      <c r="MU38" s="163" t="s">
        <v>87</v>
      </c>
      <c r="MV38" s="156">
        <v>153870</v>
      </c>
      <c r="MW38" s="156">
        <v>-2388</v>
      </c>
      <c r="MX38" s="156">
        <v>-15091</v>
      </c>
      <c r="MY38" s="156">
        <v>267663</v>
      </c>
      <c r="MZ38" s="157"/>
      <c r="NA38" s="156">
        <v>155387</v>
      </c>
      <c r="NB38" s="156">
        <v>31201</v>
      </c>
      <c r="NC38" s="156">
        <v>19345</v>
      </c>
      <c r="ND38" s="156">
        <v>230454</v>
      </c>
      <c r="NE38" s="157"/>
      <c r="NF38" s="156">
        <v>138236</v>
      </c>
      <c r="NG38" s="156">
        <v>15822</v>
      </c>
      <c r="NH38" s="156">
        <v>5885</v>
      </c>
      <c r="NI38" s="156">
        <v>222294</v>
      </c>
      <c r="NJ38" s="157"/>
      <c r="NK38" s="157"/>
      <c r="NL38" s="157"/>
      <c r="NM38" s="157"/>
      <c r="NN38" s="157"/>
      <c r="NO38" s="157"/>
      <c r="NP38" s="157"/>
      <c r="NQ38" s="157"/>
      <c r="NR38" s="157"/>
      <c r="NS38" s="157"/>
      <c r="NT38" s="157"/>
      <c r="NU38" s="157"/>
      <c r="NV38" s="157"/>
      <c r="NW38" s="157"/>
      <c r="NX38" s="157"/>
      <c r="NY38" s="157"/>
      <c r="NZ38" s="157"/>
      <c r="OA38" s="157"/>
      <c r="OB38" s="157"/>
      <c r="OC38" s="157"/>
      <c r="OD38" s="157"/>
      <c r="OE38" s="157"/>
      <c r="OF38" s="157"/>
      <c r="OG38" s="157"/>
      <c r="OH38" s="157"/>
      <c r="OI38" s="157"/>
      <c r="OJ38" s="157"/>
      <c r="OK38" s="157"/>
      <c r="OL38" s="157"/>
      <c r="OM38" s="157"/>
      <c r="ON38" s="157"/>
      <c r="OO38" s="157"/>
      <c r="OP38" s="157"/>
      <c r="OQ38" s="157"/>
      <c r="OR38" s="157"/>
      <c r="OS38" s="157"/>
      <c r="OT38" s="157"/>
      <c r="OU38" s="157"/>
      <c r="OV38" s="157"/>
      <c r="OW38" s="157"/>
      <c r="OX38" s="157"/>
      <c r="OY38" s="157"/>
      <c r="OZ38" s="157"/>
      <c r="PA38" s="157"/>
    </row>
    <row r="39" spans="254:417">
      <c r="IT39" s="157"/>
      <c r="IU39" s="157"/>
      <c r="IV39" s="157"/>
      <c r="IW39" s="157"/>
      <c r="IY39" s="157"/>
      <c r="IZ39" s="157"/>
      <c r="JA39" s="157"/>
      <c r="JB39" s="157"/>
      <c r="JC39" s="157"/>
      <c r="JD39" s="157"/>
      <c r="JE39" s="157"/>
      <c r="JF39" s="157"/>
      <c r="JG39" s="157"/>
      <c r="JH39" s="157"/>
      <c r="JI39" s="157"/>
      <c r="JJ39" s="157"/>
      <c r="JK39" s="157"/>
      <c r="JL39" s="157"/>
      <c r="JM39" s="157"/>
      <c r="JN39" s="157"/>
      <c r="JO39" s="157"/>
      <c r="JP39" s="157"/>
      <c r="JQ39" s="157"/>
      <c r="JR39" s="157"/>
      <c r="JS39" s="157"/>
      <c r="JT39" s="157"/>
      <c r="JU39" s="157"/>
      <c r="JV39" s="157"/>
      <c r="JW39" s="157"/>
      <c r="JX39" s="157"/>
      <c r="JY39" s="157"/>
      <c r="JZ39" s="157"/>
      <c r="KA39" s="157"/>
      <c r="KB39" s="157"/>
      <c r="KC39" s="157"/>
      <c r="KD39" s="157"/>
      <c r="KE39" s="157"/>
      <c r="KF39" s="157"/>
      <c r="KG39" s="157"/>
      <c r="KH39" s="157"/>
      <c r="KI39" s="157"/>
      <c r="KJ39" s="157"/>
      <c r="KK39" s="157"/>
      <c r="KL39" s="157"/>
      <c r="KM39" s="157"/>
      <c r="KN39" s="157"/>
      <c r="KO39" s="157"/>
      <c r="KP39" s="157"/>
      <c r="KQ39" s="157"/>
      <c r="KR39" s="157"/>
      <c r="KS39" s="157"/>
      <c r="KT39" s="157"/>
      <c r="KU39" s="157"/>
      <c r="KV39" s="157"/>
      <c r="KW39" s="157"/>
      <c r="KX39" s="157"/>
      <c r="KY39" s="157"/>
      <c r="KZ39" s="157"/>
      <c r="LA39" s="157"/>
      <c r="LB39" s="157"/>
      <c r="LC39" s="157"/>
      <c r="LD39" s="157"/>
      <c r="LE39" s="157"/>
      <c r="LF39" s="157"/>
      <c r="LG39" s="157"/>
      <c r="LH39" s="157"/>
      <c r="LI39" s="157"/>
      <c r="LJ39" s="157"/>
      <c r="LK39" s="157"/>
      <c r="LL39" s="157"/>
      <c r="LM39" s="157"/>
      <c r="LN39" s="157"/>
      <c r="LO39" s="157"/>
      <c r="LP39" s="157"/>
      <c r="LQ39" s="157"/>
      <c r="LR39" s="157"/>
      <c r="LS39" s="157"/>
      <c r="LT39" s="157"/>
      <c r="LU39" s="157"/>
      <c r="LV39" s="157"/>
      <c r="LW39" s="157"/>
      <c r="LX39" s="157"/>
      <c r="LY39" s="157"/>
      <c r="LZ39" s="157"/>
      <c r="MA39" s="157"/>
      <c r="MB39" s="157"/>
      <c r="MC39" s="157"/>
      <c r="MD39" s="157"/>
      <c r="ME39" s="157"/>
      <c r="MF39" s="157"/>
      <c r="MG39" s="157"/>
      <c r="MH39" s="157"/>
      <c r="MI39" s="157"/>
      <c r="MJ39" s="157"/>
      <c r="MK39" s="157"/>
      <c r="ML39" s="157"/>
      <c r="MM39" s="157"/>
      <c r="MN39" s="157"/>
      <c r="MO39" s="157"/>
      <c r="MP39" s="157"/>
      <c r="MQ39" s="157"/>
      <c r="MR39" s="157"/>
      <c r="MS39" s="157"/>
      <c r="MT39" s="157"/>
      <c r="MU39" s="173" t="s">
        <v>80</v>
      </c>
      <c r="MV39" s="170">
        <v>57229</v>
      </c>
      <c r="MW39" s="170">
        <v>-838</v>
      </c>
      <c r="MX39" s="170">
        <v>-2417</v>
      </c>
      <c r="MY39" s="170">
        <v>191933</v>
      </c>
      <c r="MZ39" s="157"/>
      <c r="NA39" s="170">
        <v>78754</v>
      </c>
      <c r="NB39" s="170">
        <v>11110</v>
      </c>
      <c r="NC39" s="170">
        <v>9389</v>
      </c>
      <c r="ND39" s="170">
        <v>160564</v>
      </c>
      <c r="NE39" s="157"/>
      <c r="NF39" s="170">
        <v>57784</v>
      </c>
      <c r="NG39" s="170">
        <v>6878</v>
      </c>
      <c r="NH39" s="170">
        <v>5166</v>
      </c>
      <c r="NI39" s="170">
        <v>182892</v>
      </c>
      <c r="NJ39" s="157"/>
      <c r="NK39" s="157"/>
      <c r="NL39" s="157"/>
      <c r="NM39" s="157"/>
      <c r="NN39" s="157"/>
      <c r="NO39" s="157"/>
      <c r="NP39" s="157"/>
      <c r="NQ39" s="157"/>
      <c r="NR39" s="157"/>
      <c r="NS39" s="157"/>
      <c r="NT39" s="157"/>
      <c r="NU39" s="157"/>
      <c r="NV39" s="157"/>
      <c r="NW39" s="157"/>
      <c r="NX39" s="157"/>
      <c r="NY39" s="157"/>
      <c r="NZ39" s="157"/>
      <c r="OA39" s="157"/>
      <c r="OB39" s="157"/>
      <c r="OC39" s="157"/>
      <c r="OD39" s="157"/>
      <c r="OE39" s="157"/>
      <c r="OF39" s="157"/>
      <c r="OG39" s="157"/>
      <c r="OH39" s="157"/>
      <c r="OI39" s="157"/>
      <c r="OJ39" s="157"/>
      <c r="OK39" s="157"/>
      <c r="OL39" s="157"/>
      <c r="OM39" s="157"/>
      <c r="ON39" s="157"/>
      <c r="OO39" s="157"/>
      <c r="OP39" s="157"/>
      <c r="OQ39" s="157"/>
      <c r="OR39" s="157"/>
      <c r="OS39" s="157"/>
      <c r="OT39" s="157"/>
      <c r="OU39" s="157"/>
      <c r="OV39" s="157"/>
      <c r="OW39" s="157"/>
      <c r="OX39" s="157"/>
      <c r="OY39" s="157"/>
      <c r="OZ39" s="157"/>
      <c r="PA39" s="157"/>
    </row>
    <row r="40" spans="254:417">
      <c r="IT40" s="157"/>
      <c r="IU40" s="157"/>
      <c r="IV40" s="157"/>
      <c r="IW40" s="157"/>
      <c r="IY40" s="157"/>
      <c r="IZ40" s="157"/>
      <c r="JA40" s="157"/>
      <c r="JB40" s="157"/>
      <c r="JC40" s="157"/>
      <c r="JD40" s="157"/>
      <c r="JE40" s="157"/>
      <c r="JF40" s="157"/>
      <c r="JG40" s="157"/>
      <c r="JH40" s="157"/>
      <c r="JI40" s="157"/>
      <c r="JJ40" s="157"/>
      <c r="JK40" s="157"/>
      <c r="JL40" s="157"/>
      <c r="JM40" s="157"/>
      <c r="JN40" s="157"/>
      <c r="JO40" s="157"/>
      <c r="JP40" s="157"/>
      <c r="JQ40" s="157"/>
      <c r="JR40" s="157"/>
      <c r="JS40" s="157"/>
      <c r="JT40" s="157"/>
      <c r="JU40" s="157"/>
      <c r="JV40" s="157"/>
      <c r="JW40" s="157"/>
      <c r="JX40" s="157"/>
      <c r="JY40" s="157"/>
      <c r="JZ40" s="157"/>
      <c r="KA40" s="157"/>
      <c r="KB40" s="157"/>
      <c r="KC40" s="157"/>
      <c r="KD40" s="157"/>
      <c r="KE40" s="157"/>
      <c r="KF40" s="157"/>
      <c r="KG40" s="157"/>
      <c r="KH40" s="157"/>
      <c r="KI40" s="157"/>
      <c r="KJ40" s="157"/>
      <c r="KK40" s="157"/>
      <c r="KL40" s="157"/>
      <c r="KM40" s="157"/>
      <c r="KN40" s="157"/>
      <c r="KO40" s="157"/>
      <c r="KP40" s="157"/>
      <c r="KQ40" s="157"/>
      <c r="KR40" s="157"/>
      <c r="KS40" s="157"/>
      <c r="KT40" s="157"/>
      <c r="KU40" s="157"/>
      <c r="KV40" s="157"/>
      <c r="KW40" s="157"/>
      <c r="KX40" s="157"/>
      <c r="KY40" s="157"/>
      <c r="KZ40" s="157"/>
      <c r="LA40" s="157"/>
      <c r="LB40" s="157"/>
      <c r="LC40" s="157"/>
      <c r="LD40" s="157"/>
      <c r="LE40" s="157"/>
      <c r="LF40" s="157"/>
      <c r="LG40" s="157"/>
      <c r="LH40" s="157"/>
      <c r="LI40" s="157"/>
      <c r="LJ40" s="157"/>
      <c r="LK40" s="157"/>
      <c r="LL40" s="157"/>
      <c r="LM40" s="157"/>
      <c r="LN40" s="157"/>
      <c r="LO40" s="157"/>
      <c r="LP40" s="157"/>
      <c r="LQ40" s="157"/>
      <c r="LR40" s="157"/>
      <c r="LS40" s="157"/>
      <c r="LT40" s="157"/>
      <c r="LU40" s="157"/>
      <c r="LV40" s="157"/>
      <c r="LW40" s="157"/>
      <c r="LX40" s="157"/>
      <c r="LY40" s="157"/>
      <c r="LZ40" s="157"/>
      <c r="MA40" s="157"/>
      <c r="MB40" s="157"/>
      <c r="MC40" s="157"/>
      <c r="MD40" s="157"/>
      <c r="ME40" s="157"/>
      <c r="MF40" s="157"/>
      <c r="MG40" s="157"/>
      <c r="MH40" s="157"/>
      <c r="MI40" s="157"/>
      <c r="MJ40" s="157"/>
      <c r="MK40" s="157"/>
      <c r="ML40" s="157"/>
      <c r="MM40" s="157"/>
      <c r="MN40" s="157"/>
      <c r="MO40" s="157"/>
      <c r="MP40" s="157"/>
      <c r="MQ40" s="157"/>
      <c r="MR40" s="157"/>
      <c r="MS40" s="157"/>
      <c r="MT40" s="157"/>
      <c r="MU40" s="157"/>
      <c r="MV40" s="157"/>
      <c r="MW40" s="157"/>
      <c r="MX40" s="157"/>
      <c r="MY40" s="157"/>
      <c r="MZ40" s="157"/>
      <c r="NA40" s="157"/>
      <c r="NB40" s="157"/>
      <c r="NC40" s="157"/>
      <c r="ND40" s="157"/>
      <c r="NE40" s="157"/>
      <c r="NF40" s="157"/>
      <c r="NG40" s="157"/>
      <c r="NH40" s="157"/>
      <c r="NI40" s="157"/>
      <c r="NJ40" s="157"/>
      <c r="NK40" s="157"/>
      <c r="NL40" s="157"/>
      <c r="NM40" s="157"/>
      <c r="NN40" s="157"/>
      <c r="NO40" s="157"/>
      <c r="NP40" s="157"/>
      <c r="NQ40" s="157"/>
      <c r="NR40" s="157"/>
      <c r="NS40" s="157"/>
      <c r="NT40" s="157"/>
      <c r="NU40" s="157"/>
      <c r="NV40" s="157"/>
      <c r="NW40" s="157"/>
      <c r="NX40" s="157"/>
      <c r="NY40" s="157"/>
      <c r="NZ40" s="157"/>
      <c r="OA40" s="157"/>
      <c r="OB40" s="157"/>
      <c r="OC40" s="157"/>
      <c r="OD40" s="157"/>
      <c r="OE40" s="157"/>
      <c r="OF40" s="157"/>
      <c r="OG40" s="157"/>
      <c r="OH40" s="157"/>
      <c r="OI40" s="157"/>
      <c r="OJ40" s="157"/>
      <c r="OK40" s="157"/>
      <c r="OL40" s="157"/>
      <c r="OM40" s="157"/>
      <c r="ON40" s="157"/>
      <c r="OO40" s="157"/>
      <c r="OP40" s="157"/>
      <c r="OQ40" s="157"/>
      <c r="OR40" s="157"/>
      <c r="OS40" s="157"/>
      <c r="OT40" s="157"/>
      <c r="OU40" s="157"/>
      <c r="OV40" s="157"/>
      <c r="OW40" s="157"/>
      <c r="OX40" s="157"/>
      <c r="OY40" s="157"/>
      <c r="OZ40" s="157"/>
      <c r="PA40" s="157"/>
    </row>
    <row r="41" spans="254:417">
      <c r="IT41" s="157"/>
      <c r="IU41" s="157"/>
      <c r="IV41" s="157"/>
      <c r="IW41" s="157"/>
      <c r="IY41" s="157"/>
      <c r="IZ41" s="157"/>
      <c r="JA41" s="157"/>
      <c r="JB41" s="157"/>
      <c r="JC41" s="157"/>
      <c r="JD41" s="157"/>
      <c r="JE41" s="157"/>
      <c r="JF41" s="157"/>
      <c r="JG41" s="157"/>
      <c r="JH41" s="157"/>
      <c r="JI41" s="157"/>
      <c r="JJ41" s="157"/>
      <c r="JK41" s="157"/>
      <c r="JL41" s="157"/>
      <c r="JM41" s="157"/>
      <c r="JN41" s="157"/>
      <c r="JO41" s="157"/>
      <c r="JP41" s="157"/>
      <c r="JQ41" s="157"/>
      <c r="JR41" s="157"/>
      <c r="JS41" s="157"/>
      <c r="JT41" s="157"/>
      <c r="JU41" s="157"/>
      <c r="JV41" s="157"/>
      <c r="JW41" s="157"/>
      <c r="JX41" s="157"/>
      <c r="JY41" s="157"/>
      <c r="JZ41" s="157"/>
      <c r="KA41" s="157"/>
      <c r="KB41" s="157"/>
      <c r="KC41" s="157"/>
      <c r="KD41" s="157"/>
      <c r="KE41" s="157"/>
      <c r="KF41" s="157"/>
      <c r="KG41" s="157"/>
      <c r="KH41" s="157"/>
      <c r="KI41" s="157"/>
      <c r="KJ41" s="157"/>
      <c r="KK41" s="157"/>
      <c r="KL41" s="157"/>
      <c r="KM41" s="157"/>
      <c r="KN41" s="157"/>
      <c r="KO41" s="157"/>
      <c r="KP41" s="157"/>
      <c r="KQ41" s="157"/>
      <c r="KR41" s="157"/>
      <c r="KS41" s="157"/>
      <c r="KT41" s="157"/>
      <c r="KU41" s="157"/>
      <c r="KV41" s="157"/>
      <c r="KW41" s="157"/>
      <c r="KX41" s="157"/>
      <c r="KY41" s="157"/>
      <c r="KZ41" s="157"/>
      <c r="LA41" s="157"/>
      <c r="LB41" s="157"/>
      <c r="LC41" s="157"/>
      <c r="LD41" s="157"/>
      <c r="LE41" s="157"/>
      <c r="LF41" s="157"/>
      <c r="LG41" s="157"/>
      <c r="LH41" s="157"/>
      <c r="LI41" s="157"/>
      <c r="LJ41" s="157"/>
      <c r="LK41" s="157"/>
      <c r="LL41" s="157"/>
      <c r="LM41" s="157"/>
      <c r="LN41" s="157"/>
      <c r="LO41" s="157"/>
      <c r="LP41" s="157"/>
      <c r="LQ41" s="157"/>
      <c r="LR41" s="157"/>
      <c r="LS41" s="157"/>
      <c r="LT41" s="157"/>
      <c r="LU41" s="157"/>
      <c r="LV41" s="157"/>
      <c r="LW41" s="157"/>
      <c r="LX41" s="157"/>
      <c r="LY41" s="157"/>
      <c r="LZ41" s="157"/>
      <c r="MA41" s="157"/>
      <c r="MB41" s="157"/>
      <c r="MC41" s="157"/>
      <c r="MD41" s="157"/>
      <c r="ME41" s="157"/>
      <c r="MF41" s="157"/>
      <c r="MG41" s="157"/>
      <c r="MH41" s="157"/>
      <c r="MI41" s="157"/>
      <c r="MJ41" s="157"/>
      <c r="MK41" s="157"/>
      <c r="ML41" s="157"/>
      <c r="MM41" s="157"/>
      <c r="MN41" s="157"/>
      <c r="MO41" s="157"/>
      <c r="MP41" s="157"/>
      <c r="MQ41" s="157"/>
      <c r="MR41" s="157"/>
      <c r="MS41" s="157"/>
      <c r="MT41" s="157"/>
      <c r="MU41" s="157"/>
      <c r="MV41" s="157"/>
      <c r="MW41" s="157"/>
      <c r="MX41" s="157"/>
      <c r="MY41" s="157"/>
      <c r="MZ41" s="157"/>
      <c r="NA41" s="157"/>
      <c r="NB41" s="157"/>
      <c r="NC41" s="157"/>
      <c r="ND41" s="157"/>
      <c r="NE41" s="157"/>
      <c r="NF41" s="157"/>
      <c r="NG41" s="157"/>
      <c r="NH41" s="157"/>
      <c r="NI41" s="157"/>
      <c r="NJ41" s="157"/>
      <c r="NK41" s="157"/>
      <c r="NL41" s="157"/>
      <c r="NM41" s="157"/>
      <c r="NN41" s="157"/>
      <c r="NO41" s="157"/>
      <c r="NP41" s="157"/>
      <c r="NQ41" s="157"/>
      <c r="NR41" s="157"/>
      <c r="NS41" s="157"/>
      <c r="NT41" s="157"/>
      <c r="NU41" s="157"/>
      <c r="NV41" s="157"/>
      <c r="NW41" s="157"/>
      <c r="NX41" s="157"/>
      <c r="NY41" s="157"/>
      <c r="NZ41" s="157"/>
      <c r="OA41" s="157"/>
      <c r="OB41" s="157"/>
      <c r="OC41" s="157"/>
      <c r="OD41" s="157"/>
      <c r="OE41" s="157"/>
      <c r="OF41" s="157"/>
      <c r="OG41" s="157"/>
      <c r="OH41" s="157"/>
      <c r="OI41" s="157"/>
      <c r="OJ41" s="157"/>
      <c r="OK41" s="157"/>
      <c r="OL41" s="157"/>
      <c r="OM41" s="157"/>
      <c r="ON41" s="157"/>
      <c r="OO41" s="157"/>
      <c r="OP41" s="157"/>
      <c r="OQ41" s="157"/>
      <c r="OR41" s="157"/>
      <c r="OS41" s="157"/>
      <c r="OT41" s="157"/>
      <c r="OU41" s="157"/>
      <c r="OV41" s="157"/>
      <c r="OW41" s="157"/>
      <c r="OX41" s="157"/>
      <c r="OY41" s="157"/>
      <c r="OZ41" s="157"/>
      <c r="PA41" s="157"/>
    </row>
    <row r="42" spans="254:417">
      <c r="IT42" s="157"/>
      <c r="IU42" s="157"/>
      <c r="IV42" s="157"/>
      <c r="IW42" s="157"/>
      <c r="IY42" s="157"/>
      <c r="IZ42" s="157"/>
      <c r="JA42" s="157"/>
      <c r="JB42" s="157"/>
      <c r="JC42" s="157"/>
      <c r="JD42" s="157"/>
      <c r="JE42" s="157"/>
      <c r="JF42" s="157"/>
      <c r="JG42" s="157"/>
      <c r="JH42" s="157"/>
      <c r="JI42" s="157"/>
      <c r="JJ42" s="157"/>
      <c r="JK42" s="157"/>
      <c r="JL42" s="157"/>
      <c r="JM42" s="157"/>
      <c r="JN42" s="157"/>
      <c r="JO42" s="157"/>
      <c r="JP42" s="157"/>
      <c r="JQ42" s="157"/>
      <c r="JR42" s="157"/>
      <c r="JS42" s="157"/>
      <c r="JT42" s="157"/>
      <c r="JU42" s="157"/>
      <c r="JV42" s="157"/>
      <c r="JW42" s="157"/>
      <c r="JX42" s="157"/>
      <c r="JY42" s="157"/>
      <c r="JZ42" s="157"/>
      <c r="KA42" s="157"/>
      <c r="KB42" s="157"/>
      <c r="KC42" s="157"/>
      <c r="KD42" s="157"/>
      <c r="KE42" s="157"/>
      <c r="KF42" s="157"/>
      <c r="KG42" s="157"/>
      <c r="KH42" s="157"/>
      <c r="KI42" s="157"/>
      <c r="KJ42" s="157"/>
      <c r="KK42" s="157"/>
      <c r="KL42" s="157"/>
      <c r="KM42" s="157"/>
      <c r="KN42" s="157"/>
      <c r="KO42" s="157"/>
      <c r="KP42" s="157"/>
      <c r="KQ42" s="157"/>
      <c r="KR42" s="157"/>
      <c r="KS42" s="157"/>
      <c r="KT42" s="157"/>
      <c r="KU42" s="157"/>
      <c r="KV42" s="157"/>
      <c r="KW42" s="157"/>
      <c r="KX42" s="157"/>
      <c r="KY42" s="157"/>
      <c r="KZ42" s="157"/>
      <c r="LA42" s="157"/>
      <c r="LB42" s="157"/>
      <c r="LC42" s="157"/>
      <c r="LD42" s="157"/>
      <c r="LE42" s="157"/>
      <c r="LF42" s="157"/>
      <c r="LG42" s="157"/>
      <c r="LH42" s="157"/>
      <c r="LI42" s="157"/>
      <c r="LJ42" s="157"/>
      <c r="LK42" s="157"/>
      <c r="LL42" s="157"/>
      <c r="LM42" s="157"/>
      <c r="LN42" s="157"/>
      <c r="LO42" s="157"/>
      <c r="LP42" s="157"/>
      <c r="LQ42" s="157"/>
      <c r="LR42" s="157"/>
      <c r="LS42" s="157"/>
      <c r="LT42" s="157"/>
      <c r="LU42" s="157"/>
      <c r="LV42" s="157"/>
      <c r="LW42" s="157"/>
      <c r="LX42" s="157"/>
      <c r="LY42" s="157"/>
      <c r="LZ42" s="157"/>
      <c r="MA42" s="157"/>
      <c r="MB42" s="157"/>
      <c r="MC42" s="157"/>
      <c r="MD42" s="157"/>
      <c r="ME42" s="157"/>
      <c r="MF42" s="157"/>
      <c r="MG42" s="157"/>
      <c r="MH42" s="157"/>
      <c r="MI42" s="157"/>
      <c r="MJ42" s="157"/>
      <c r="MK42" s="157"/>
      <c r="ML42" s="157"/>
      <c r="MM42" s="157"/>
      <c r="MN42" s="157"/>
      <c r="MO42" s="157"/>
      <c r="MP42" s="157"/>
      <c r="MQ42" s="157"/>
      <c r="MR42" s="157"/>
      <c r="MS42" s="157"/>
      <c r="MT42" s="157"/>
      <c r="MU42" s="157"/>
      <c r="MV42" s="157"/>
      <c r="MW42" s="157"/>
      <c r="MX42" s="157"/>
      <c r="MY42" s="157"/>
      <c r="MZ42" s="157"/>
      <c r="NA42" s="157"/>
      <c r="NB42" s="157"/>
      <c r="NC42" s="157"/>
      <c r="ND42" s="157"/>
      <c r="NE42" s="157"/>
      <c r="NF42" s="157"/>
      <c r="NG42" s="157"/>
      <c r="NH42" s="157"/>
      <c r="NI42" s="157"/>
      <c r="NJ42" s="157"/>
      <c r="NK42" s="157"/>
      <c r="NL42" s="157"/>
      <c r="NM42" s="157"/>
      <c r="NN42" s="157"/>
      <c r="NO42" s="157"/>
      <c r="NP42" s="157"/>
      <c r="NQ42" s="157"/>
      <c r="NR42" s="157"/>
      <c r="NS42" s="157"/>
      <c r="NT42" s="157"/>
      <c r="NU42" s="157"/>
      <c r="NV42" s="157"/>
      <c r="NW42" s="157"/>
      <c r="NX42" s="157"/>
      <c r="NY42" s="157"/>
      <c r="NZ42" s="157"/>
      <c r="OA42" s="157"/>
      <c r="OB42" s="157"/>
      <c r="OC42" s="157"/>
      <c r="OD42" s="157"/>
      <c r="OE42" s="157"/>
      <c r="OF42" s="157"/>
      <c r="OG42" s="157"/>
      <c r="OH42" s="157"/>
      <c r="OI42" s="157"/>
      <c r="OJ42" s="157"/>
      <c r="OK42" s="157"/>
      <c r="OL42" s="157"/>
      <c r="OM42" s="157"/>
      <c r="ON42" s="157"/>
      <c r="OO42" s="157"/>
      <c r="OP42" s="157"/>
      <c r="OQ42" s="157"/>
      <c r="OR42" s="157"/>
      <c r="OS42" s="157"/>
      <c r="OT42" s="157"/>
      <c r="OU42" s="157"/>
      <c r="OV42" s="157"/>
      <c r="OW42" s="157"/>
      <c r="OX42" s="157"/>
      <c r="OY42" s="157"/>
      <c r="OZ42" s="157"/>
      <c r="PA42" s="157"/>
    </row>
    <row r="43" spans="254:417" ht="51">
      <c r="IT43" s="157"/>
      <c r="IU43" s="157"/>
      <c r="IV43" s="157"/>
      <c r="IW43" s="157"/>
      <c r="IY43" s="157"/>
      <c r="IZ43" s="157"/>
      <c r="JA43" s="157"/>
      <c r="JB43" s="157"/>
      <c r="JC43" s="157"/>
      <c r="JD43" s="157"/>
      <c r="JE43" s="157"/>
      <c r="JF43" s="157"/>
      <c r="JG43" s="157"/>
      <c r="JH43" s="157"/>
      <c r="JI43" s="157"/>
      <c r="JJ43" s="157"/>
      <c r="JK43" s="157"/>
      <c r="JL43" s="157"/>
      <c r="JM43" s="157"/>
      <c r="JN43" s="157"/>
      <c r="JO43" s="157"/>
      <c r="JP43" s="157"/>
      <c r="JQ43" s="157"/>
      <c r="JR43" s="157"/>
      <c r="JS43" s="157"/>
      <c r="JT43" s="157"/>
      <c r="JU43" s="157"/>
      <c r="JV43" s="157"/>
      <c r="JW43" s="157"/>
      <c r="JX43" s="157"/>
      <c r="JY43" s="157"/>
      <c r="JZ43" s="157"/>
      <c r="KA43" s="157"/>
      <c r="KB43" s="157"/>
      <c r="KC43" s="157"/>
      <c r="KD43" s="157"/>
      <c r="KE43" s="157"/>
      <c r="KF43" s="157"/>
      <c r="KG43" s="157"/>
      <c r="KH43" s="157"/>
      <c r="KI43" s="157"/>
      <c r="KJ43" s="157"/>
      <c r="KK43" s="157"/>
      <c r="KL43" s="157"/>
      <c r="KM43" s="157"/>
      <c r="KN43" s="157"/>
      <c r="KO43" s="157"/>
      <c r="KP43" s="157"/>
      <c r="KQ43" s="157"/>
      <c r="KR43" s="157"/>
      <c r="KS43" s="157"/>
      <c r="KT43" s="157"/>
      <c r="KU43" s="157"/>
      <c r="KV43" s="157"/>
      <c r="KW43" s="157"/>
      <c r="KX43" s="157"/>
      <c r="KY43" s="157"/>
      <c r="KZ43" s="157"/>
      <c r="LA43" s="157"/>
      <c r="LB43" s="157"/>
      <c r="LC43" s="157"/>
      <c r="LD43" s="157"/>
      <c r="LE43" s="157"/>
      <c r="LF43" s="157"/>
      <c r="LG43" s="157"/>
      <c r="LH43" s="157"/>
      <c r="LI43" s="157"/>
      <c r="LJ43" s="157"/>
      <c r="LK43" s="157"/>
      <c r="LL43" s="157"/>
      <c r="LM43" s="157"/>
      <c r="LN43" s="157"/>
      <c r="LO43" s="157"/>
      <c r="LP43" s="157"/>
      <c r="LQ43" s="157"/>
      <c r="LR43" s="157"/>
      <c r="LS43" s="157"/>
      <c r="LT43" s="157"/>
      <c r="LU43" s="157"/>
      <c r="LV43" s="157"/>
      <c r="LW43" s="157"/>
      <c r="LX43" s="157"/>
      <c r="LY43" s="157"/>
      <c r="LZ43" s="157"/>
      <c r="MA43" s="157"/>
      <c r="MB43" s="157"/>
      <c r="MC43" s="157"/>
      <c r="MD43" s="157"/>
      <c r="ME43" s="157"/>
      <c r="MF43" s="157"/>
      <c r="MG43" s="157"/>
      <c r="MH43" s="157"/>
      <c r="MI43" s="157"/>
      <c r="MJ43" s="157"/>
      <c r="MK43" s="157"/>
      <c r="ML43" s="157"/>
      <c r="MM43" s="157"/>
      <c r="MN43" s="157"/>
      <c r="MO43" s="157"/>
      <c r="MP43" s="157"/>
      <c r="MQ43" s="157"/>
      <c r="MR43" s="157"/>
      <c r="MS43" s="157"/>
      <c r="MT43" s="157"/>
      <c r="MU43" s="178" t="s">
        <v>372</v>
      </c>
      <c r="MV43" s="160" t="s">
        <v>183</v>
      </c>
      <c r="MW43" s="160" t="s">
        <v>95</v>
      </c>
      <c r="MX43" s="160" t="s">
        <v>198</v>
      </c>
      <c r="MY43" s="160" t="s">
        <v>184</v>
      </c>
      <c r="MZ43" s="157"/>
      <c r="NA43" s="160" t="s">
        <v>185</v>
      </c>
      <c r="NB43" s="160" t="s">
        <v>186</v>
      </c>
      <c r="NC43" s="160" t="s">
        <v>190</v>
      </c>
      <c r="ND43" s="160" t="s">
        <v>192</v>
      </c>
      <c r="NE43" s="157"/>
      <c r="NF43" s="160" t="s">
        <v>108</v>
      </c>
      <c r="NG43" s="160" t="s">
        <v>106</v>
      </c>
      <c r="NH43" s="160" t="s">
        <v>107</v>
      </c>
      <c r="NI43" s="160" t="s">
        <v>197</v>
      </c>
      <c r="NJ43" s="157"/>
      <c r="NK43" s="157"/>
      <c r="NL43" s="157"/>
      <c r="NM43" s="157"/>
      <c r="NN43" s="157"/>
      <c r="NO43" s="157"/>
      <c r="NP43" s="157"/>
      <c r="NQ43" s="157"/>
      <c r="NR43" s="157"/>
      <c r="NS43" s="157"/>
      <c r="NT43" s="157"/>
      <c r="NU43" s="157"/>
      <c r="NV43" s="157"/>
      <c r="NW43" s="157"/>
      <c r="NX43" s="157"/>
      <c r="NY43" s="157"/>
      <c r="NZ43" s="157"/>
      <c r="OA43" s="157"/>
      <c r="OB43" s="157"/>
      <c r="OC43" s="157"/>
      <c r="OD43" s="157"/>
      <c r="OE43" s="157"/>
      <c r="OF43" s="157"/>
      <c r="OG43" s="157"/>
      <c r="OH43" s="157"/>
      <c r="OI43" s="157"/>
      <c r="OJ43" s="157"/>
      <c r="OK43" s="157"/>
      <c r="OL43" s="157"/>
      <c r="OM43" s="157"/>
      <c r="ON43" s="157"/>
      <c r="OO43" s="157"/>
      <c r="OP43" s="157"/>
      <c r="OQ43" s="157"/>
      <c r="OR43" s="157"/>
      <c r="OS43" s="157"/>
      <c r="OT43" s="157"/>
      <c r="OU43" s="157"/>
      <c r="OV43" s="157"/>
      <c r="OW43" s="157"/>
      <c r="OX43" s="157"/>
      <c r="OY43" s="157"/>
      <c r="OZ43" s="157"/>
      <c r="PA43" s="157"/>
    </row>
    <row r="44" spans="254:417">
      <c r="IT44" s="157"/>
      <c r="IU44" s="157"/>
      <c r="IV44" s="157"/>
      <c r="IW44" s="157"/>
      <c r="IY44" s="157"/>
      <c r="IZ44" s="157"/>
      <c r="JA44" s="157"/>
      <c r="JB44" s="157"/>
      <c r="JC44" s="157"/>
      <c r="JD44" s="157"/>
      <c r="JE44" s="157"/>
      <c r="JF44" s="157"/>
      <c r="JG44" s="157"/>
      <c r="JH44" s="157"/>
      <c r="JI44" s="157"/>
      <c r="JJ44" s="157"/>
      <c r="JK44" s="157"/>
      <c r="JL44" s="157"/>
      <c r="JM44" s="157"/>
      <c r="JN44" s="157"/>
      <c r="JO44" s="157"/>
      <c r="JP44" s="157"/>
      <c r="JQ44" s="157"/>
      <c r="JR44" s="157"/>
      <c r="JS44" s="157"/>
      <c r="JT44" s="157"/>
      <c r="JU44" s="157"/>
      <c r="JV44" s="157"/>
      <c r="JW44" s="157"/>
      <c r="JX44" s="157"/>
      <c r="JY44" s="157"/>
      <c r="JZ44" s="157"/>
      <c r="KA44" s="157"/>
      <c r="KB44" s="157"/>
      <c r="KC44" s="157"/>
      <c r="KD44" s="157"/>
      <c r="KE44" s="157"/>
      <c r="KF44" s="157"/>
      <c r="KG44" s="157"/>
      <c r="KH44" s="157"/>
      <c r="KI44" s="157"/>
      <c r="KJ44" s="157"/>
      <c r="KK44" s="157"/>
      <c r="KL44" s="157"/>
      <c r="KM44" s="157"/>
      <c r="KN44" s="157"/>
      <c r="KO44" s="157"/>
      <c r="KP44" s="157"/>
      <c r="KQ44" s="157"/>
      <c r="KR44" s="157"/>
      <c r="KS44" s="157"/>
      <c r="KT44" s="157"/>
      <c r="KU44" s="157"/>
      <c r="KV44" s="157"/>
      <c r="KW44" s="157"/>
      <c r="KX44" s="157"/>
      <c r="KY44" s="157"/>
      <c r="KZ44" s="157"/>
      <c r="LA44" s="157"/>
      <c r="LB44" s="157"/>
      <c r="LC44" s="157"/>
      <c r="LD44" s="157"/>
      <c r="LE44" s="157"/>
      <c r="LF44" s="157"/>
      <c r="LG44" s="157"/>
      <c r="LH44" s="157"/>
      <c r="LI44" s="157"/>
      <c r="LJ44" s="157"/>
      <c r="LK44" s="157"/>
      <c r="LL44" s="157"/>
      <c r="LM44" s="157"/>
      <c r="LN44" s="157"/>
      <c r="LO44" s="157"/>
      <c r="LP44" s="157"/>
      <c r="LQ44" s="157"/>
      <c r="LR44" s="157"/>
      <c r="LS44" s="157"/>
      <c r="LT44" s="157"/>
      <c r="LU44" s="157"/>
      <c r="LV44" s="157"/>
      <c r="LW44" s="157"/>
      <c r="LX44" s="157"/>
      <c r="LY44" s="157"/>
      <c r="LZ44" s="157"/>
      <c r="MA44" s="157"/>
      <c r="MB44" s="157"/>
      <c r="MC44" s="157"/>
      <c r="MD44" s="157"/>
      <c r="ME44" s="157"/>
      <c r="MF44" s="157"/>
      <c r="MG44" s="157"/>
      <c r="MH44" s="157"/>
      <c r="MI44" s="157"/>
      <c r="MJ44" s="157"/>
      <c r="MK44" s="157"/>
      <c r="ML44" s="157"/>
      <c r="MM44" s="157"/>
      <c r="MN44" s="157"/>
      <c r="MO44" s="157"/>
      <c r="MP44" s="157"/>
      <c r="MQ44" s="157"/>
      <c r="MR44" s="157"/>
      <c r="MS44" s="157"/>
      <c r="MT44" s="157"/>
      <c r="MU44" s="164" t="s">
        <v>81</v>
      </c>
      <c r="MV44" s="162">
        <v>304936</v>
      </c>
      <c r="MW44" s="162">
        <v>-2231</v>
      </c>
      <c r="MX44" s="162">
        <v>-23008</v>
      </c>
      <c r="MY44" s="162">
        <v>1465831</v>
      </c>
      <c r="MZ44" s="157"/>
      <c r="NA44" s="162">
        <v>344248</v>
      </c>
      <c r="NB44" s="162">
        <v>30610</v>
      </c>
      <c r="NC44" s="162">
        <v>4342</v>
      </c>
      <c r="ND44" s="162">
        <v>1465831</v>
      </c>
      <c r="NE44" s="157"/>
      <c r="NF44" s="162">
        <v>375593</v>
      </c>
      <c r="NG44" s="162">
        <v>64483</v>
      </c>
      <c r="NH44" s="162">
        <v>38486</v>
      </c>
      <c r="NI44" s="162">
        <v>1465831</v>
      </c>
      <c r="NJ44" s="157"/>
      <c r="NK44" s="157"/>
      <c r="NL44" s="157"/>
      <c r="NM44" s="157"/>
      <c r="NN44" s="157"/>
      <c r="NO44" s="157"/>
      <c r="NP44" s="157"/>
      <c r="NQ44" s="157"/>
      <c r="NR44" s="157"/>
      <c r="NS44" s="157"/>
      <c r="NT44" s="157"/>
      <c r="NU44" s="157"/>
      <c r="NV44" s="157"/>
      <c r="NW44" s="157"/>
      <c r="NX44" s="157"/>
      <c r="NY44" s="157"/>
      <c r="NZ44" s="157"/>
      <c r="OA44" s="157"/>
      <c r="OB44" s="157"/>
      <c r="OC44" s="157"/>
      <c r="OD44" s="157"/>
      <c r="OE44" s="157"/>
      <c r="OF44" s="157"/>
      <c r="OG44" s="157"/>
      <c r="OH44" s="157"/>
      <c r="OI44" s="157"/>
      <c r="OJ44" s="157"/>
      <c r="OK44" s="157"/>
      <c r="OL44" s="157"/>
      <c r="OM44" s="157"/>
      <c r="ON44" s="157"/>
      <c r="OO44" s="157"/>
      <c r="OP44" s="157"/>
      <c r="OQ44" s="157"/>
      <c r="OR44" s="157"/>
      <c r="OS44" s="157"/>
      <c r="OT44" s="157"/>
      <c r="OU44" s="157"/>
      <c r="OV44" s="157"/>
      <c r="OW44" s="157"/>
      <c r="OX44" s="157"/>
      <c r="OY44" s="157"/>
      <c r="OZ44" s="157"/>
      <c r="PA44" s="157"/>
    </row>
    <row r="45" spans="254:417">
      <c r="IT45" s="157"/>
      <c r="IU45" s="157"/>
      <c r="IV45" s="157"/>
      <c r="IW45" s="157"/>
      <c r="IY45" s="157"/>
      <c r="IZ45" s="157"/>
      <c r="JA45" s="157"/>
      <c r="JB45" s="157"/>
      <c r="JC45" s="157"/>
      <c r="JD45" s="157"/>
      <c r="JE45" s="157"/>
      <c r="JF45" s="157"/>
      <c r="JG45" s="157"/>
      <c r="JH45" s="157"/>
      <c r="JI45" s="157"/>
      <c r="JJ45" s="157"/>
      <c r="JK45" s="157"/>
      <c r="JL45" s="157"/>
      <c r="JM45" s="157"/>
      <c r="JN45" s="157"/>
      <c r="JO45" s="157"/>
      <c r="JP45" s="157"/>
      <c r="JQ45" s="157"/>
      <c r="JR45" s="157"/>
      <c r="JS45" s="157"/>
      <c r="JT45" s="157"/>
      <c r="JU45" s="157"/>
      <c r="JV45" s="157"/>
      <c r="JW45" s="157"/>
      <c r="JX45" s="157"/>
      <c r="JY45" s="157"/>
      <c r="JZ45" s="157"/>
      <c r="KA45" s="157"/>
      <c r="KB45" s="157"/>
      <c r="KC45" s="157"/>
      <c r="KD45" s="157"/>
      <c r="KE45" s="157"/>
      <c r="KF45" s="157"/>
      <c r="KG45" s="157"/>
      <c r="KH45" s="157"/>
      <c r="KI45" s="157"/>
      <c r="KJ45" s="157"/>
      <c r="KK45" s="157"/>
      <c r="KL45" s="157"/>
      <c r="KM45" s="157"/>
      <c r="KN45" s="157"/>
      <c r="KO45" s="157"/>
      <c r="KP45" s="157"/>
      <c r="KQ45" s="157"/>
      <c r="KR45" s="157"/>
      <c r="KS45" s="157"/>
      <c r="KT45" s="157"/>
      <c r="KU45" s="157"/>
      <c r="KV45" s="157"/>
      <c r="KW45" s="157"/>
      <c r="KX45" s="157"/>
      <c r="KY45" s="157"/>
      <c r="KZ45" s="157"/>
      <c r="LA45" s="157"/>
      <c r="LB45" s="157"/>
      <c r="LC45" s="157"/>
      <c r="LD45" s="157"/>
      <c r="LE45" s="157"/>
      <c r="LF45" s="157"/>
      <c r="LG45" s="157"/>
      <c r="LH45" s="157"/>
      <c r="LI45" s="157"/>
      <c r="LJ45" s="157"/>
      <c r="LK45" s="157"/>
      <c r="LL45" s="157"/>
      <c r="LM45" s="157"/>
      <c r="LN45" s="157"/>
      <c r="LO45" s="157"/>
      <c r="LP45" s="157"/>
      <c r="LQ45" s="157"/>
      <c r="LR45" s="157"/>
      <c r="LS45" s="157"/>
      <c r="LT45" s="157"/>
      <c r="LU45" s="157"/>
      <c r="LV45" s="157"/>
      <c r="LW45" s="157"/>
      <c r="LX45" s="157"/>
      <c r="LY45" s="157"/>
      <c r="LZ45" s="157"/>
      <c r="MA45" s="157"/>
      <c r="MB45" s="157"/>
      <c r="MC45" s="157"/>
      <c r="MD45" s="157"/>
      <c r="ME45" s="157"/>
      <c r="MF45" s="157"/>
      <c r="MG45" s="157"/>
      <c r="MH45" s="157"/>
      <c r="MI45" s="157"/>
      <c r="MJ45" s="157"/>
      <c r="MK45" s="157"/>
      <c r="ML45" s="157"/>
      <c r="MM45" s="157"/>
      <c r="MN45" s="157"/>
      <c r="MO45" s="157"/>
      <c r="MP45" s="157"/>
      <c r="MQ45" s="157"/>
      <c r="MR45" s="157"/>
      <c r="MS45" s="157"/>
      <c r="MT45" s="157"/>
      <c r="MU45" s="163" t="s">
        <v>82</v>
      </c>
      <c r="MV45" s="156">
        <v>1234695</v>
      </c>
      <c r="MW45" s="156">
        <v>-88343</v>
      </c>
      <c r="MX45" s="156">
        <v>-204787</v>
      </c>
      <c r="MY45" s="180">
        <v>8646833</v>
      </c>
      <c r="MZ45" s="157"/>
      <c r="NA45" s="156">
        <v>1069434</v>
      </c>
      <c r="NB45" s="156">
        <v>89056</v>
      </c>
      <c r="NC45" s="156">
        <v>-23575</v>
      </c>
      <c r="ND45" s="180">
        <v>8646833</v>
      </c>
      <c r="NE45" s="157"/>
      <c r="NF45" s="156">
        <v>1063065</v>
      </c>
      <c r="NG45" s="156">
        <v>-129465</v>
      </c>
      <c r="NH45" s="156">
        <v>-258674</v>
      </c>
      <c r="NI45" s="180">
        <v>8646833</v>
      </c>
      <c r="NJ45" s="157"/>
      <c r="NK45" s="157"/>
      <c r="NL45" s="157"/>
      <c r="NM45" s="157"/>
      <c r="NN45" s="157"/>
      <c r="NO45" s="157"/>
      <c r="NP45" s="157"/>
      <c r="NQ45" s="157"/>
      <c r="NR45" s="157"/>
      <c r="NS45" s="157"/>
      <c r="NT45" s="157"/>
      <c r="NU45" s="157"/>
      <c r="NV45" s="157"/>
      <c r="NW45" s="157"/>
      <c r="NX45" s="157"/>
      <c r="NY45" s="157"/>
      <c r="NZ45" s="157"/>
      <c r="OA45" s="157"/>
      <c r="OB45" s="157"/>
      <c r="OC45" s="157"/>
      <c r="OD45" s="157"/>
      <c r="OE45" s="157"/>
      <c r="OF45" s="157"/>
      <c r="OG45" s="157"/>
      <c r="OH45" s="157"/>
      <c r="OI45" s="157"/>
      <c r="OJ45" s="157"/>
      <c r="OK45" s="157"/>
      <c r="OL45" s="157"/>
      <c r="OM45" s="157"/>
      <c r="ON45" s="157"/>
      <c r="OO45" s="157"/>
      <c r="OP45" s="157"/>
      <c r="OQ45" s="157"/>
      <c r="OR45" s="157"/>
      <c r="OS45" s="157"/>
      <c r="OT45" s="157"/>
      <c r="OU45" s="157"/>
      <c r="OV45" s="157"/>
      <c r="OW45" s="157"/>
      <c r="OX45" s="157"/>
      <c r="OY45" s="157"/>
      <c r="OZ45" s="157"/>
      <c r="PA45" s="157"/>
    </row>
    <row r="46" spans="254:417">
      <c r="IT46" s="157"/>
      <c r="IU46" s="157"/>
      <c r="IV46" s="157"/>
      <c r="IW46" s="157"/>
      <c r="IY46" s="157"/>
      <c r="IZ46" s="157"/>
      <c r="JA46" s="157"/>
      <c r="JB46" s="157"/>
      <c r="JC46" s="157"/>
      <c r="JD46" s="157"/>
      <c r="JE46" s="157"/>
      <c r="JF46" s="157"/>
      <c r="JG46" s="157"/>
      <c r="JH46" s="157"/>
      <c r="JI46" s="157"/>
      <c r="JJ46" s="157"/>
      <c r="JK46" s="157"/>
      <c r="JL46" s="157"/>
      <c r="JM46" s="157"/>
      <c r="JN46" s="157"/>
      <c r="JO46" s="157"/>
      <c r="JP46" s="157"/>
      <c r="JQ46" s="157"/>
      <c r="JR46" s="157"/>
      <c r="JS46" s="157"/>
      <c r="JT46" s="157"/>
      <c r="JU46" s="157"/>
      <c r="JV46" s="157"/>
      <c r="JW46" s="157"/>
      <c r="JX46" s="157"/>
      <c r="JY46" s="157"/>
      <c r="JZ46" s="157"/>
      <c r="KA46" s="157"/>
      <c r="KB46" s="157"/>
      <c r="KC46" s="157"/>
      <c r="KD46" s="157"/>
      <c r="KE46" s="157"/>
      <c r="KF46" s="157"/>
      <c r="KG46" s="157"/>
      <c r="KH46" s="157"/>
      <c r="KI46" s="157"/>
      <c r="KJ46" s="157"/>
      <c r="KK46" s="157"/>
      <c r="KL46" s="157"/>
      <c r="KM46" s="157"/>
      <c r="KN46" s="157"/>
      <c r="KO46" s="157"/>
      <c r="KP46" s="157"/>
      <c r="KQ46" s="157"/>
      <c r="KR46" s="157"/>
      <c r="KS46" s="157"/>
      <c r="KT46" s="157"/>
      <c r="KU46" s="157"/>
      <c r="KV46" s="157"/>
      <c r="KW46" s="157"/>
      <c r="KX46" s="157"/>
      <c r="KY46" s="157"/>
      <c r="KZ46" s="157"/>
      <c r="LA46" s="157"/>
      <c r="LB46" s="157"/>
      <c r="LC46" s="157"/>
      <c r="LD46" s="157"/>
      <c r="LE46" s="157"/>
      <c r="LF46" s="157"/>
      <c r="LG46" s="157"/>
      <c r="LH46" s="157"/>
      <c r="LI46" s="157"/>
      <c r="LJ46" s="157"/>
      <c r="LK46" s="157"/>
      <c r="LL46" s="157"/>
      <c r="LM46" s="157"/>
      <c r="LN46" s="157"/>
      <c r="LO46" s="157"/>
      <c r="LP46" s="157"/>
      <c r="LQ46" s="157"/>
      <c r="LR46" s="157"/>
      <c r="LS46" s="157"/>
      <c r="LT46" s="157"/>
      <c r="LU46" s="157"/>
      <c r="LV46" s="157"/>
      <c r="LW46" s="157"/>
      <c r="LX46" s="157"/>
      <c r="LY46" s="157"/>
      <c r="LZ46" s="157"/>
      <c r="MA46" s="157"/>
      <c r="MB46" s="157"/>
      <c r="MC46" s="157"/>
      <c r="MD46" s="157"/>
      <c r="ME46" s="157"/>
      <c r="MF46" s="157"/>
      <c r="MG46" s="157"/>
      <c r="MH46" s="157"/>
      <c r="MI46" s="157"/>
      <c r="MJ46" s="157"/>
      <c r="MK46" s="157"/>
      <c r="ML46" s="157"/>
      <c r="MM46" s="157"/>
      <c r="MN46" s="157"/>
      <c r="MO46" s="157"/>
      <c r="MP46" s="157"/>
      <c r="MQ46" s="157"/>
      <c r="MR46" s="157"/>
      <c r="MS46" s="157"/>
      <c r="MT46" s="157"/>
      <c r="MU46" s="163" t="s">
        <v>83</v>
      </c>
      <c r="MV46" s="156">
        <v>75595</v>
      </c>
      <c r="MW46" s="156">
        <v>51721</v>
      </c>
      <c r="MX46" s="156">
        <v>36103</v>
      </c>
      <c r="MY46" s="180">
        <v>1944940</v>
      </c>
      <c r="MZ46" s="157"/>
      <c r="NA46" s="156">
        <v>36445</v>
      </c>
      <c r="NB46" s="156">
        <v>21782</v>
      </c>
      <c r="NC46" s="156">
        <v>12906</v>
      </c>
      <c r="ND46" s="180">
        <v>1944940</v>
      </c>
      <c r="NE46" s="157"/>
      <c r="NF46" s="156">
        <v>50919</v>
      </c>
      <c r="NG46" s="156">
        <v>34878</v>
      </c>
      <c r="NH46" s="156">
        <v>25991</v>
      </c>
      <c r="NI46" s="180">
        <v>1944940</v>
      </c>
      <c r="NJ46" s="157"/>
      <c r="NK46" s="157"/>
      <c r="NL46" s="157"/>
      <c r="NM46" s="157"/>
      <c r="NN46" s="157"/>
      <c r="NO46" s="157"/>
      <c r="NP46" s="157"/>
      <c r="NQ46" s="157"/>
      <c r="NR46" s="157"/>
      <c r="NS46" s="157"/>
      <c r="NT46" s="157"/>
      <c r="NU46" s="157"/>
      <c r="NV46" s="157"/>
      <c r="NW46" s="157"/>
      <c r="NX46" s="157"/>
      <c r="NY46" s="157"/>
      <c r="NZ46" s="157"/>
      <c r="OA46" s="157"/>
      <c r="OB46" s="157"/>
      <c r="OC46" s="157"/>
      <c r="OD46" s="157"/>
      <c r="OE46" s="157"/>
      <c r="OF46" s="157"/>
      <c r="OG46" s="157"/>
      <c r="OH46" s="157"/>
      <c r="OI46" s="157"/>
      <c r="OJ46" s="157"/>
      <c r="OK46" s="157"/>
      <c r="OL46" s="157"/>
      <c r="OM46" s="157"/>
      <c r="ON46" s="157"/>
      <c r="OO46" s="157"/>
      <c r="OP46" s="157"/>
      <c r="OQ46" s="157"/>
      <c r="OR46" s="157"/>
      <c r="OS46" s="157"/>
      <c r="OT46" s="157"/>
      <c r="OU46" s="157"/>
      <c r="OV46" s="157"/>
      <c r="OW46" s="157"/>
      <c r="OX46" s="157"/>
      <c r="OY46" s="157"/>
      <c r="OZ46" s="157"/>
      <c r="PA46" s="157"/>
    </row>
    <row r="47" spans="254:417">
      <c r="IT47" s="157"/>
      <c r="IU47" s="157"/>
      <c r="IV47" s="157"/>
      <c r="IW47" s="157"/>
      <c r="IY47" s="157"/>
      <c r="IZ47" s="157"/>
      <c r="JA47" s="157"/>
      <c r="JB47" s="157"/>
      <c r="JC47" s="157"/>
      <c r="JD47" s="157"/>
      <c r="JE47" s="157"/>
      <c r="JF47" s="157"/>
      <c r="JG47" s="157"/>
      <c r="JH47" s="157"/>
      <c r="JI47" s="157"/>
      <c r="JJ47" s="157"/>
      <c r="JK47" s="157"/>
      <c r="JL47" s="157"/>
      <c r="JM47" s="157"/>
      <c r="JN47" s="157"/>
      <c r="JO47" s="157"/>
      <c r="JP47" s="157"/>
      <c r="JQ47" s="157"/>
      <c r="JR47" s="157"/>
      <c r="JS47" s="157"/>
      <c r="JT47" s="157"/>
      <c r="JU47" s="157"/>
      <c r="JV47" s="157"/>
      <c r="JW47" s="157"/>
      <c r="JX47" s="157"/>
      <c r="JY47" s="157"/>
      <c r="JZ47" s="157"/>
      <c r="KA47" s="157"/>
      <c r="KB47" s="157"/>
      <c r="KC47" s="157"/>
      <c r="KD47" s="157"/>
      <c r="KE47" s="157"/>
      <c r="KF47" s="157"/>
      <c r="KG47" s="157"/>
      <c r="KH47" s="157"/>
      <c r="KI47" s="157"/>
      <c r="KJ47" s="157"/>
      <c r="KK47" s="157"/>
      <c r="KL47" s="157"/>
      <c r="KM47" s="157"/>
      <c r="KN47" s="157"/>
      <c r="KO47" s="157"/>
      <c r="KP47" s="157"/>
      <c r="KQ47" s="157"/>
      <c r="KR47" s="157"/>
      <c r="KS47" s="157"/>
      <c r="KT47" s="157"/>
      <c r="KU47" s="157"/>
      <c r="KV47" s="157"/>
      <c r="KW47" s="157"/>
      <c r="KX47" s="157"/>
      <c r="KY47" s="157"/>
      <c r="KZ47" s="157"/>
      <c r="LA47" s="157"/>
      <c r="LB47" s="157"/>
      <c r="LC47" s="157"/>
      <c r="LD47" s="157"/>
      <c r="LE47" s="157"/>
      <c r="LF47" s="157"/>
      <c r="LG47" s="157"/>
      <c r="LH47" s="157"/>
      <c r="LI47" s="157"/>
      <c r="LJ47" s="157"/>
      <c r="LK47" s="157"/>
      <c r="LL47" s="157"/>
      <c r="LM47" s="157"/>
      <c r="LN47" s="157"/>
      <c r="LO47" s="157"/>
      <c r="LP47" s="157"/>
      <c r="LQ47" s="157"/>
      <c r="LR47" s="157"/>
      <c r="LS47" s="157"/>
      <c r="LT47" s="157"/>
      <c r="LU47" s="157"/>
      <c r="LV47" s="157"/>
      <c r="LW47" s="157"/>
      <c r="LX47" s="157"/>
      <c r="LY47" s="157"/>
      <c r="LZ47" s="157"/>
      <c r="MA47" s="157"/>
      <c r="MB47" s="157"/>
      <c r="MC47" s="157"/>
      <c r="MD47" s="157"/>
      <c r="ME47" s="157"/>
      <c r="MF47" s="157"/>
      <c r="MG47" s="157"/>
      <c r="MH47" s="157"/>
      <c r="MI47" s="157"/>
      <c r="MJ47" s="157"/>
      <c r="MK47" s="157"/>
      <c r="ML47" s="157"/>
      <c r="MM47" s="157"/>
      <c r="MN47" s="157"/>
      <c r="MO47" s="157"/>
      <c r="MP47" s="157"/>
      <c r="MQ47" s="157"/>
      <c r="MR47" s="157"/>
      <c r="MS47" s="157"/>
      <c r="MT47" s="157"/>
      <c r="MU47" s="163" t="s">
        <v>84</v>
      </c>
      <c r="MV47" s="156">
        <v>412047</v>
      </c>
      <c r="MW47" s="156">
        <v>70560</v>
      </c>
      <c r="MX47" s="156">
        <v>34808</v>
      </c>
      <c r="MY47" s="156">
        <v>2169616</v>
      </c>
      <c r="MZ47" s="157"/>
      <c r="NA47" s="156">
        <v>242199</v>
      </c>
      <c r="NB47" s="156">
        <v>32175</v>
      </c>
      <c r="NC47" s="156">
        <v>1157</v>
      </c>
      <c r="ND47" s="156">
        <v>2169616</v>
      </c>
      <c r="NE47" s="157"/>
      <c r="NF47" s="156">
        <v>261695</v>
      </c>
      <c r="NG47" s="156">
        <v>27278</v>
      </c>
      <c r="NH47" s="156">
        <v>-1712</v>
      </c>
      <c r="NI47" s="156">
        <v>2169616</v>
      </c>
      <c r="NJ47" s="157"/>
      <c r="NK47" s="157"/>
      <c r="NL47" s="157"/>
      <c r="NM47" s="157"/>
      <c r="NN47" s="157"/>
      <c r="NO47" s="157"/>
      <c r="NP47" s="157"/>
      <c r="NQ47" s="157"/>
      <c r="NR47" s="157"/>
      <c r="NS47" s="157"/>
      <c r="NT47" s="157"/>
      <c r="NU47" s="157"/>
      <c r="NV47" s="157"/>
      <c r="NW47" s="157"/>
      <c r="NX47" s="157"/>
      <c r="NY47" s="157"/>
      <c r="NZ47" s="157"/>
      <c r="OA47" s="157"/>
      <c r="OB47" s="157"/>
      <c r="OC47" s="157"/>
      <c r="OD47" s="157"/>
      <c r="OE47" s="157"/>
      <c r="OF47" s="157"/>
      <c r="OG47" s="157"/>
      <c r="OH47" s="157"/>
      <c r="OI47" s="157"/>
      <c r="OJ47" s="157"/>
      <c r="OK47" s="157"/>
      <c r="OL47" s="157"/>
      <c r="OM47" s="157"/>
      <c r="ON47" s="157"/>
      <c r="OO47" s="157"/>
      <c r="OP47" s="157"/>
      <c r="OQ47" s="157"/>
      <c r="OR47" s="157"/>
      <c r="OS47" s="157"/>
      <c r="OT47" s="157"/>
      <c r="OU47" s="157"/>
      <c r="OV47" s="157"/>
      <c r="OW47" s="157"/>
      <c r="OX47" s="157"/>
      <c r="OY47" s="157"/>
      <c r="OZ47" s="157"/>
      <c r="PA47" s="157"/>
    </row>
    <row r="48" spans="254:417">
      <c r="IT48" s="157"/>
      <c r="IU48" s="157"/>
      <c r="IV48" s="157"/>
      <c r="IW48" s="157"/>
      <c r="IY48" s="157"/>
      <c r="IZ48" s="157"/>
      <c r="JA48" s="157"/>
      <c r="JB48" s="157"/>
      <c r="JC48" s="157"/>
      <c r="JD48" s="157"/>
      <c r="JE48" s="157"/>
      <c r="JF48" s="157"/>
      <c r="JG48" s="157"/>
      <c r="JH48" s="157"/>
      <c r="JI48" s="157"/>
      <c r="JJ48" s="157"/>
      <c r="JK48" s="157"/>
      <c r="JL48" s="157"/>
      <c r="JM48" s="157"/>
      <c r="JN48" s="157"/>
      <c r="JO48" s="157"/>
      <c r="JP48" s="157"/>
      <c r="JQ48" s="157"/>
      <c r="JR48" s="157"/>
      <c r="JS48" s="157"/>
      <c r="JT48" s="157"/>
      <c r="JU48" s="157"/>
      <c r="JV48" s="157"/>
      <c r="JW48" s="157"/>
      <c r="JX48" s="157"/>
      <c r="JY48" s="157"/>
      <c r="JZ48" s="157"/>
      <c r="KA48" s="157"/>
      <c r="KB48" s="157"/>
      <c r="KC48" s="157"/>
      <c r="KD48" s="157"/>
      <c r="KE48" s="157"/>
      <c r="KF48" s="157"/>
      <c r="KG48" s="157"/>
      <c r="KH48" s="157"/>
      <c r="KI48" s="157"/>
      <c r="KJ48" s="157"/>
      <c r="KK48" s="157"/>
      <c r="KL48" s="157"/>
      <c r="KM48" s="157"/>
      <c r="KN48" s="157"/>
      <c r="KO48" s="157"/>
      <c r="KP48" s="157"/>
      <c r="KQ48" s="157"/>
      <c r="KR48" s="157"/>
      <c r="KS48" s="157"/>
      <c r="KT48" s="157"/>
      <c r="KU48" s="157"/>
      <c r="KV48" s="157"/>
      <c r="KW48" s="157"/>
      <c r="KX48" s="157"/>
      <c r="KY48" s="157"/>
      <c r="KZ48" s="157"/>
      <c r="LA48" s="157"/>
      <c r="LB48" s="157"/>
      <c r="LC48" s="157"/>
      <c r="LD48" s="157"/>
      <c r="LE48" s="157"/>
      <c r="LF48" s="157"/>
      <c r="LG48" s="157"/>
      <c r="LH48" s="157"/>
      <c r="LI48" s="157"/>
      <c r="LJ48" s="157"/>
      <c r="LK48" s="157"/>
      <c r="LL48" s="157"/>
      <c r="LM48" s="157"/>
      <c r="LN48" s="157"/>
      <c r="LO48" s="157"/>
      <c r="LP48" s="157"/>
      <c r="LQ48" s="157"/>
      <c r="LR48" s="157"/>
      <c r="LS48" s="157"/>
      <c r="LT48" s="157"/>
      <c r="LU48" s="157"/>
      <c r="LV48" s="157"/>
      <c r="LW48" s="157"/>
      <c r="LX48" s="157"/>
      <c r="LY48" s="157"/>
      <c r="LZ48" s="157"/>
      <c r="MA48" s="157"/>
      <c r="MB48" s="157"/>
      <c r="MC48" s="157"/>
      <c r="MD48" s="157"/>
      <c r="ME48" s="157"/>
      <c r="MF48" s="157"/>
      <c r="MG48" s="157"/>
      <c r="MH48" s="157"/>
      <c r="MI48" s="157"/>
      <c r="MJ48" s="157"/>
      <c r="MK48" s="157"/>
      <c r="ML48" s="157"/>
      <c r="MM48" s="157"/>
      <c r="MN48" s="157"/>
      <c r="MO48" s="157"/>
      <c r="MP48" s="157"/>
      <c r="MQ48" s="157"/>
      <c r="MR48" s="157"/>
      <c r="MS48" s="157"/>
      <c r="MT48" s="157"/>
      <c r="MU48" s="163" t="s">
        <v>85</v>
      </c>
      <c r="MV48" s="156">
        <v>1546279</v>
      </c>
      <c r="MW48" s="156">
        <v>507686</v>
      </c>
      <c r="MX48" s="156">
        <v>271310</v>
      </c>
      <c r="MY48" s="180">
        <v>14002290</v>
      </c>
      <c r="MZ48" s="157"/>
      <c r="NA48" s="156">
        <v>1440387</v>
      </c>
      <c r="NB48" s="156">
        <v>596593</v>
      </c>
      <c r="NC48" s="156">
        <v>368174</v>
      </c>
      <c r="ND48" s="180">
        <v>14002290</v>
      </c>
      <c r="NE48" s="157"/>
      <c r="NF48" s="156">
        <v>1469113</v>
      </c>
      <c r="NG48" s="156">
        <v>577973</v>
      </c>
      <c r="NH48" s="156">
        <v>354207</v>
      </c>
      <c r="NI48" s="180">
        <v>14002290</v>
      </c>
      <c r="NJ48" s="157"/>
      <c r="NK48" s="157"/>
      <c r="NL48" s="157"/>
      <c r="NM48" s="157"/>
      <c r="NN48" s="157"/>
      <c r="NO48" s="157"/>
      <c r="NP48" s="157"/>
      <c r="NQ48" s="157"/>
      <c r="NR48" s="157"/>
      <c r="NS48" s="157"/>
      <c r="NT48" s="157"/>
      <c r="NU48" s="157"/>
      <c r="NV48" s="157"/>
      <c r="NW48" s="157"/>
      <c r="NX48" s="157"/>
      <c r="NY48" s="157"/>
      <c r="NZ48" s="157"/>
      <c r="OA48" s="157"/>
      <c r="OB48" s="157"/>
      <c r="OC48" s="157"/>
      <c r="OD48" s="157"/>
      <c r="OE48" s="157"/>
      <c r="OF48" s="157"/>
      <c r="OG48" s="157"/>
      <c r="OH48" s="157"/>
      <c r="OI48" s="157"/>
      <c r="OJ48" s="157"/>
      <c r="OK48" s="157"/>
      <c r="OL48" s="157"/>
      <c r="OM48" s="157"/>
      <c r="ON48" s="157"/>
      <c r="OO48" s="157"/>
      <c r="OP48" s="157"/>
      <c r="OQ48" s="157"/>
      <c r="OR48" s="157"/>
      <c r="OS48" s="157"/>
      <c r="OT48" s="157"/>
      <c r="OU48" s="157"/>
      <c r="OV48" s="157"/>
      <c r="OW48" s="157"/>
      <c r="OX48" s="157"/>
      <c r="OY48" s="157"/>
      <c r="OZ48" s="157"/>
      <c r="PA48" s="157"/>
    </row>
    <row r="49" spans="254:417">
      <c r="IT49" s="157"/>
      <c r="IU49" s="157"/>
      <c r="IV49" s="157"/>
      <c r="IW49" s="157"/>
      <c r="IY49" s="157"/>
      <c r="IZ49" s="157"/>
      <c r="JA49" s="157"/>
      <c r="JB49" s="157"/>
      <c r="JC49" s="157"/>
      <c r="JD49" s="157"/>
      <c r="JE49" s="157"/>
      <c r="JF49" s="157"/>
      <c r="JG49" s="157"/>
      <c r="JH49" s="157"/>
      <c r="JI49" s="157"/>
      <c r="JJ49" s="157"/>
      <c r="JK49" s="157"/>
      <c r="JL49" s="157"/>
      <c r="JM49" s="157"/>
      <c r="JN49" s="157"/>
      <c r="JO49" s="157"/>
      <c r="JP49" s="157"/>
      <c r="JQ49" s="157"/>
      <c r="JR49" s="157"/>
      <c r="JS49" s="157"/>
      <c r="JT49" s="157"/>
      <c r="JU49" s="157"/>
      <c r="JV49" s="157"/>
      <c r="JW49" s="157"/>
      <c r="JX49" s="157"/>
      <c r="JY49" s="157"/>
      <c r="JZ49" s="157"/>
      <c r="KA49" s="157"/>
      <c r="KB49" s="157"/>
      <c r="KC49" s="157"/>
      <c r="KD49" s="157"/>
      <c r="KE49" s="157"/>
      <c r="KF49" s="157"/>
      <c r="KG49" s="157"/>
      <c r="KH49" s="157"/>
      <c r="KI49" s="157"/>
      <c r="KJ49" s="157"/>
      <c r="KK49" s="157"/>
      <c r="KL49" s="157"/>
      <c r="KM49" s="157"/>
      <c r="KN49" s="157"/>
      <c r="KO49" s="157"/>
      <c r="KP49" s="157"/>
      <c r="KQ49" s="157"/>
      <c r="KR49" s="157"/>
      <c r="KS49" s="157"/>
      <c r="KT49" s="157"/>
      <c r="KU49" s="157"/>
      <c r="KV49" s="157"/>
      <c r="KW49" s="157"/>
      <c r="KX49" s="157"/>
      <c r="KY49" s="157"/>
      <c r="KZ49" s="157"/>
      <c r="LA49" s="157"/>
      <c r="LB49" s="157"/>
      <c r="LC49" s="157"/>
      <c r="LD49" s="157"/>
      <c r="LE49" s="157"/>
      <c r="LF49" s="157"/>
      <c r="LG49" s="157"/>
      <c r="LH49" s="157"/>
      <c r="LI49" s="157"/>
      <c r="LJ49" s="157"/>
      <c r="LK49" s="157"/>
      <c r="LL49" s="157"/>
      <c r="LM49" s="157"/>
      <c r="LN49" s="157"/>
      <c r="LO49" s="157"/>
      <c r="LP49" s="157"/>
      <c r="LQ49" s="157"/>
      <c r="LR49" s="157"/>
      <c r="LS49" s="157"/>
      <c r="LT49" s="157"/>
      <c r="LU49" s="157"/>
      <c r="LV49" s="157"/>
      <c r="LW49" s="157"/>
      <c r="LX49" s="157"/>
      <c r="LY49" s="157"/>
      <c r="LZ49" s="157"/>
      <c r="MA49" s="157"/>
      <c r="MB49" s="157"/>
      <c r="MC49" s="157"/>
      <c r="MD49" s="157"/>
      <c r="ME49" s="157"/>
      <c r="MF49" s="157"/>
      <c r="MG49" s="157"/>
      <c r="MH49" s="157"/>
      <c r="MI49" s="157"/>
      <c r="MJ49" s="157"/>
      <c r="MK49" s="157"/>
      <c r="ML49" s="157"/>
      <c r="MM49" s="157"/>
      <c r="MN49" s="157"/>
      <c r="MO49" s="157"/>
      <c r="MP49" s="157"/>
      <c r="MQ49" s="157"/>
      <c r="MR49" s="157"/>
      <c r="MS49" s="157"/>
      <c r="MT49" s="157"/>
      <c r="MU49" s="163" t="s">
        <v>86</v>
      </c>
      <c r="MV49" s="156">
        <v>4716134</v>
      </c>
      <c r="MW49" s="156">
        <v>152054</v>
      </c>
      <c r="MX49" s="156">
        <v>143572</v>
      </c>
      <c r="MY49" s="180">
        <v>3111539</v>
      </c>
      <c r="MZ49" s="157"/>
      <c r="NA49" s="156">
        <v>4307905</v>
      </c>
      <c r="NB49" s="156">
        <v>151423</v>
      </c>
      <c r="NC49" s="156">
        <v>142487</v>
      </c>
      <c r="ND49" s="180">
        <v>3111539</v>
      </c>
      <c r="NE49" s="157"/>
      <c r="NF49" s="156">
        <v>4202695</v>
      </c>
      <c r="NG49" s="156">
        <v>247856</v>
      </c>
      <c r="NH49" s="156">
        <v>239409</v>
      </c>
      <c r="NI49" s="180">
        <v>3111539</v>
      </c>
      <c r="NJ49" s="157"/>
      <c r="NK49" s="157"/>
      <c r="NL49" s="157"/>
      <c r="NM49" s="157"/>
      <c r="NN49" s="157"/>
      <c r="NO49" s="157"/>
      <c r="NP49" s="157"/>
      <c r="NQ49" s="157"/>
      <c r="NR49" s="157"/>
      <c r="NS49" s="157"/>
      <c r="NT49" s="157"/>
      <c r="NU49" s="157"/>
      <c r="NV49" s="157"/>
      <c r="NW49" s="157"/>
      <c r="NX49" s="157"/>
      <c r="NY49" s="157"/>
      <c r="NZ49" s="157"/>
      <c r="OA49" s="157"/>
      <c r="OB49" s="157"/>
      <c r="OC49" s="157"/>
      <c r="OD49" s="157"/>
      <c r="OE49" s="157"/>
      <c r="OF49" s="157"/>
      <c r="OG49" s="157"/>
      <c r="OH49" s="157"/>
      <c r="OI49" s="157"/>
      <c r="OJ49" s="157"/>
      <c r="OK49" s="157"/>
      <c r="OL49" s="157"/>
      <c r="OM49" s="157"/>
      <c r="ON49" s="157"/>
      <c r="OO49" s="157"/>
      <c r="OP49" s="157"/>
      <c r="OQ49" s="157"/>
      <c r="OR49" s="157"/>
      <c r="OS49" s="157"/>
      <c r="OT49" s="157"/>
      <c r="OU49" s="157"/>
      <c r="OV49" s="157"/>
      <c r="OW49" s="157"/>
      <c r="OX49" s="157"/>
      <c r="OY49" s="157"/>
      <c r="OZ49" s="157"/>
      <c r="PA49" s="157"/>
    </row>
    <row r="50" spans="254:417">
      <c r="IT50" s="157"/>
      <c r="IU50" s="157"/>
      <c r="IV50" s="157"/>
      <c r="IW50" s="157"/>
      <c r="IY50" s="157"/>
      <c r="IZ50" s="157"/>
      <c r="JA50" s="157"/>
      <c r="JB50" s="157"/>
      <c r="JC50" s="157"/>
      <c r="JD50" s="157"/>
      <c r="JE50" s="157"/>
      <c r="JF50" s="157"/>
      <c r="JG50" s="157"/>
      <c r="JH50" s="157"/>
      <c r="JI50" s="157"/>
      <c r="JJ50" s="157"/>
      <c r="JK50" s="157"/>
      <c r="JL50" s="157"/>
      <c r="JM50" s="157"/>
      <c r="JN50" s="157"/>
      <c r="JO50" s="157"/>
      <c r="JP50" s="157"/>
      <c r="JQ50" s="157"/>
      <c r="JR50" s="157"/>
      <c r="JS50" s="157"/>
      <c r="JT50" s="157"/>
      <c r="JU50" s="157"/>
      <c r="JV50" s="157"/>
      <c r="JW50" s="157"/>
      <c r="JX50" s="157"/>
      <c r="JY50" s="157"/>
      <c r="JZ50" s="157"/>
      <c r="KA50" s="157"/>
      <c r="KB50" s="157"/>
      <c r="KC50" s="157"/>
      <c r="KD50" s="157"/>
      <c r="KE50" s="157"/>
      <c r="KF50" s="157"/>
      <c r="KG50" s="157"/>
      <c r="KH50" s="157"/>
      <c r="KI50" s="157"/>
      <c r="KJ50" s="157"/>
      <c r="KK50" s="157"/>
      <c r="KL50" s="157"/>
      <c r="KM50" s="157"/>
      <c r="KN50" s="157"/>
      <c r="KO50" s="157"/>
      <c r="KP50" s="157"/>
      <c r="KQ50" s="157"/>
      <c r="KR50" s="157"/>
      <c r="KS50" s="157"/>
      <c r="KT50" s="157"/>
      <c r="KU50" s="157"/>
      <c r="KV50" s="157"/>
      <c r="KW50" s="157"/>
      <c r="KX50" s="157"/>
      <c r="KY50" s="157"/>
      <c r="KZ50" s="157"/>
      <c r="LA50" s="157"/>
      <c r="LB50" s="157"/>
      <c r="LC50" s="157"/>
      <c r="LD50" s="157"/>
      <c r="LE50" s="157"/>
      <c r="LF50" s="157"/>
      <c r="LG50" s="157"/>
      <c r="LH50" s="157"/>
      <c r="LI50" s="157"/>
      <c r="LJ50" s="157"/>
      <c r="LK50" s="157"/>
      <c r="LL50" s="157"/>
      <c r="LM50" s="157"/>
      <c r="LN50" s="157"/>
      <c r="LO50" s="157"/>
      <c r="LP50" s="157"/>
      <c r="LQ50" s="157"/>
      <c r="LR50" s="157"/>
      <c r="LS50" s="157"/>
      <c r="LT50" s="157"/>
      <c r="LU50" s="157"/>
      <c r="LV50" s="157"/>
      <c r="LW50" s="157"/>
      <c r="LX50" s="157"/>
      <c r="LY50" s="157"/>
      <c r="LZ50" s="157"/>
      <c r="MA50" s="157"/>
      <c r="MB50" s="157"/>
      <c r="MC50" s="157"/>
      <c r="MD50" s="157"/>
      <c r="ME50" s="157"/>
      <c r="MF50" s="157"/>
      <c r="MG50" s="157"/>
      <c r="MH50" s="157"/>
      <c r="MI50" s="157"/>
      <c r="MJ50" s="157"/>
      <c r="MK50" s="157"/>
      <c r="ML50" s="157"/>
      <c r="MM50" s="157"/>
      <c r="MN50" s="157"/>
      <c r="MO50" s="157"/>
      <c r="MP50" s="157"/>
      <c r="MQ50" s="157"/>
      <c r="MR50" s="157"/>
      <c r="MS50" s="157"/>
      <c r="MT50" s="157"/>
      <c r="MU50" s="163" t="s">
        <v>87</v>
      </c>
      <c r="MV50" s="156">
        <v>117604</v>
      </c>
      <c r="MW50" s="156">
        <v>-26269</v>
      </c>
      <c r="MX50" s="156">
        <v>-32841</v>
      </c>
      <c r="MY50" s="156">
        <v>183519</v>
      </c>
      <c r="MZ50" s="157"/>
      <c r="NA50" s="156">
        <v>139772</v>
      </c>
      <c r="NB50" s="156">
        <v>37893</v>
      </c>
      <c r="NC50" s="156">
        <v>32774</v>
      </c>
      <c r="ND50" s="156">
        <v>183519</v>
      </c>
      <c r="NE50" s="157"/>
      <c r="NF50" s="156">
        <v>131113</v>
      </c>
      <c r="NG50" s="156">
        <v>21556</v>
      </c>
      <c r="NH50" s="156">
        <v>17918</v>
      </c>
      <c r="NI50" s="156">
        <v>183519</v>
      </c>
      <c r="NJ50" s="157"/>
      <c r="NK50" s="157"/>
      <c r="NL50" s="157"/>
      <c r="NM50" s="157"/>
      <c r="NN50" s="157"/>
      <c r="NO50" s="157"/>
      <c r="NP50" s="157"/>
      <c r="NQ50" s="157"/>
      <c r="NR50" s="157"/>
      <c r="NS50" s="157"/>
      <c r="NT50" s="157"/>
      <c r="NU50" s="157"/>
      <c r="NV50" s="157"/>
      <c r="NW50" s="157"/>
      <c r="NX50" s="157"/>
      <c r="NY50" s="157"/>
      <c r="NZ50" s="157"/>
      <c r="OA50" s="157"/>
      <c r="OB50" s="157"/>
      <c r="OC50" s="157"/>
      <c r="OD50" s="157"/>
      <c r="OE50" s="157"/>
      <c r="OF50" s="157"/>
      <c r="OG50" s="157"/>
      <c r="OH50" s="157"/>
      <c r="OI50" s="157"/>
      <c r="OJ50" s="157"/>
      <c r="OK50" s="157"/>
      <c r="OL50" s="157"/>
      <c r="OM50" s="157"/>
      <c r="ON50" s="157"/>
      <c r="OO50" s="157"/>
      <c r="OP50" s="157"/>
      <c r="OQ50" s="157"/>
      <c r="OR50" s="157"/>
      <c r="OS50" s="157"/>
      <c r="OT50" s="157"/>
      <c r="OU50" s="157"/>
      <c r="OV50" s="157"/>
      <c r="OW50" s="157"/>
      <c r="OX50" s="157"/>
      <c r="OY50" s="157"/>
      <c r="OZ50" s="157"/>
      <c r="PA50" s="157"/>
    </row>
    <row r="51" spans="254:417">
      <c r="IT51" s="157"/>
      <c r="IU51" s="157"/>
      <c r="IV51" s="157"/>
      <c r="IW51" s="157"/>
      <c r="IY51" s="157"/>
      <c r="IZ51" s="157"/>
      <c r="JA51" s="157"/>
      <c r="JB51" s="157"/>
      <c r="JC51" s="157"/>
      <c r="JD51" s="157"/>
      <c r="JE51" s="157"/>
      <c r="JF51" s="157"/>
      <c r="JG51" s="157"/>
      <c r="JH51" s="157"/>
      <c r="JI51" s="157"/>
      <c r="JJ51" s="157"/>
      <c r="JK51" s="157"/>
      <c r="JL51" s="157"/>
      <c r="JM51" s="157"/>
      <c r="JN51" s="157"/>
      <c r="JO51" s="157"/>
      <c r="JP51" s="157"/>
      <c r="JQ51" s="157"/>
      <c r="JR51" s="157"/>
      <c r="JS51" s="157"/>
      <c r="JT51" s="157"/>
      <c r="JU51" s="157"/>
      <c r="JV51" s="157"/>
      <c r="JW51" s="157"/>
      <c r="JX51" s="157"/>
      <c r="JY51" s="157"/>
      <c r="JZ51" s="157"/>
      <c r="KA51" s="157"/>
      <c r="KB51" s="157"/>
      <c r="KC51" s="157"/>
      <c r="KD51" s="157"/>
      <c r="KE51" s="157"/>
      <c r="KF51" s="157"/>
      <c r="KG51" s="157"/>
      <c r="KH51" s="157"/>
      <c r="KI51" s="157"/>
      <c r="KJ51" s="157"/>
      <c r="KK51" s="157"/>
      <c r="KL51" s="157"/>
      <c r="KM51" s="157"/>
      <c r="KN51" s="157"/>
      <c r="KO51" s="157"/>
      <c r="KP51" s="157"/>
      <c r="KQ51" s="157"/>
      <c r="KR51" s="157"/>
      <c r="KS51" s="157"/>
      <c r="KT51" s="157"/>
      <c r="KU51" s="157"/>
      <c r="KV51" s="157"/>
      <c r="KW51" s="157"/>
      <c r="KX51" s="157"/>
      <c r="KY51" s="157"/>
      <c r="KZ51" s="157"/>
      <c r="LA51" s="157"/>
      <c r="LB51" s="157"/>
      <c r="LC51" s="157"/>
      <c r="LD51" s="157"/>
      <c r="LE51" s="157"/>
      <c r="LF51" s="157"/>
      <c r="LG51" s="157"/>
      <c r="LH51" s="157"/>
      <c r="LI51" s="157"/>
      <c r="LJ51" s="157"/>
      <c r="LK51" s="157"/>
      <c r="LL51" s="157"/>
      <c r="LM51" s="157"/>
      <c r="LN51" s="157"/>
      <c r="LO51" s="157"/>
      <c r="LP51" s="157"/>
      <c r="LQ51" s="157"/>
      <c r="LR51" s="157"/>
      <c r="LS51" s="157"/>
      <c r="LT51" s="157"/>
      <c r="LU51" s="157"/>
      <c r="LV51" s="157"/>
      <c r="LW51" s="157"/>
      <c r="LX51" s="157"/>
      <c r="LY51" s="157"/>
      <c r="LZ51" s="157"/>
      <c r="MA51" s="157"/>
      <c r="MB51" s="157"/>
      <c r="MC51" s="157"/>
      <c r="MD51" s="157"/>
      <c r="ME51" s="157"/>
      <c r="MF51" s="157"/>
      <c r="MG51" s="157"/>
      <c r="MH51" s="157"/>
      <c r="MI51" s="157"/>
      <c r="MJ51" s="157"/>
      <c r="MK51" s="157"/>
      <c r="ML51" s="157"/>
      <c r="MM51" s="157"/>
      <c r="MN51" s="157"/>
      <c r="MO51" s="157"/>
      <c r="MP51" s="157"/>
      <c r="MQ51" s="157"/>
      <c r="MR51" s="157"/>
      <c r="MS51" s="157"/>
      <c r="MT51" s="157"/>
      <c r="MU51" s="173" t="s">
        <v>80</v>
      </c>
      <c r="MV51" s="170">
        <v>77093</v>
      </c>
      <c r="MW51" s="170">
        <v>3386</v>
      </c>
      <c r="MX51" s="170">
        <v>3330</v>
      </c>
      <c r="MY51" s="170">
        <v>170774</v>
      </c>
      <c r="MZ51" s="157"/>
      <c r="NA51" s="170">
        <v>67137</v>
      </c>
      <c r="NB51" s="170">
        <v>7908</v>
      </c>
      <c r="NC51" s="170">
        <v>5723</v>
      </c>
      <c r="ND51" s="170">
        <v>170774</v>
      </c>
      <c r="NE51" s="157"/>
      <c r="NF51" s="170">
        <v>62475</v>
      </c>
      <c r="NG51" s="170">
        <v>3861</v>
      </c>
      <c r="NH51" s="170">
        <v>1662</v>
      </c>
      <c r="NI51" s="170">
        <v>170774</v>
      </c>
      <c r="NJ51" s="157"/>
      <c r="NK51" s="157"/>
      <c r="NL51" s="157"/>
      <c r="NM51" s="157"/>
      <c r="NN51" s="157"/>
      <c r="NO51" s="157"/>
      <c r="NP51" s="157"/>
      <c r="NQ51" s="157"/>
      <c r="NR51" s="157"/>
      <c r="NS51" s="157"/>
      <c r="NT51" s="157"/>
      <c r="NU51" s="157"/>
      <c r="NV51" s="157"/>
      <c r="NW51" s="157"/>
      <c r="NX51" s="157"/>
      <c r="NY51" s="157"/>
      <c r="NZ51" s="157"/>
      <c r="OA51" s="157"/>
      <c r="OB51" s="157"/>
      <c r="OC51" s="157"/>
      <c r="OD51" s="157"/>
      <c r="OE51" s="157"/>
      <c r="OF51" s="157"/>
      <c r="OG51" s="157"/>
      <c r="OH51" s="157"/>
      <c r="OI51" s="157"/>
      <c r="OJ51" s="157"/>
      <c r="OK51" s="157"/>
      <c r="OL51" s="157"/>
      <c r="OM51" s="157"/>
      <c r="ON51" s="157"/>
      <c r="OO51" s="157"/>
      <c r="OP51" s="157"/>
      <c r="OQ51" s="157"/>
      <c r="OR51" s="157"/>
      <c r="OS51" s="157"/>
      <c r="OT51" s="157"/>
      <c r="OU51" s="157"/>
      <c r="OV51" s="157"/>
      <c r="OW51" s="157"/>
      <c r="OX51" s="157"/>
      <c r="OY51" s="157"/>
      <c r="OZ51" s="157"/>
      <c r="PA51" s="157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>
    <pageSetUpPr fitToPage="1"/>
  </sheetPr>
  <dimension ref="A1:KU32"/>
  <sheetViews>
    <sheetView zoomScale="70" zoomScaleNormal="70" workbookViewId="0">
      <selection activeCell="C10" sqref="C5:C10"/>
    </sheetView>
  </sheetViews>
  <sheetFormatPr defaultColWidth="9.28515625" defaultRowHeight="15"/>
  <cols>
    <col min="1" max="1" width="39.28515625" style="10" customWidth="1"/>
    <col min="2" max="2" width="3.7109375" style="10" customWidth="1"/>
    <col min="3" max="3" width="16.7109375" style="324" customWidth="1"/>
    <col min="4" max="4" width="16.7109375" style="157" customWidth="1"/>
    <col min="5" max="5" width="3.7109375" style="10" customWidth="1"/>
    <col min="6" max="6" width="16.7109375" style="324" customWidth="1"/>
    <col min="7" max="7" width="16.7109375" style="157" customWidth="1"/>
    <col min="8" max="8" width="3.7109375" style="10" customWidth="1"/>
    <col min="9" max="9" width="16.7109375" style="324" customWidth="1"/>
    <col min="10" max="10" width="16.7109375" style="157" customWidth="1"/>
    <col min="11" max="11" width="3.7109375" style="10" customWidth="1"/>
    <col min="12" max="12" width="16.7109375" style="324" customWidth="1"/>
    <col min="13" max="13" width="16.7109375" style="157" customWidth="1"/>
    <col min="14" max="14" width="3.7109375" style="10" customWidth="1"/>
    <col min="15" max="15" width="16.7109375" style="324" customWidth="1"/>
    <col min="16" max="16" width="16.7109375" style="157" customWidth="1"/>
    <col min="17" max="17" width="3.7109375" style="10" customWidth="1"/>
    <col min="18" max="18" width="16.7109375" style="324" customWidth="1"/>
    <col min="19" max="19" width="16.7109375" style="157" customWidth="1"/>
    <col min="20" max="20" width="3.7109375" style="10" customWidth="1"/>
    <col min="21" max="21" width="16.7109375" style="324" customWidth="1"/>
    <col min="22" max="22" width="16.7109375" style="157" customWidth="1"/>
    <col min="23" max="23" width="3.7109375" style="10" customWidth="1"/>
    <col min="24" max="24" width="16.7109375" style="324" customWidth="1"/>
    <col min="25" max="25" width="16.7109375" style="157" customWidth="1"/>
    <col min="26" max="26" width="3.7109375" style="10" customWidth="1"/>
    <col min="27" max="27" width="16.7109375" style="324" customWidth="1"/>
    <col min="28" max="28" width="16.7109375" style="157" customWidth="1"/>
    <col min="29" max="29" width="3.7109375" style="10" customWidth="1"/>
    <col min="30" max="30" width="16.7109375" style="324" customWidth="1"/>
    <col min="31" max="31" width="16.7109375" style="157" customWidth="1"/>
    <col min="32" max="32" width="3.7109375" style="10" customWidth="1"/>
    <col min="33" max="33" width="16.7109375" style="324" customWidth="1"/>
    <col min="34" max="34" width="16.7109375" style="157" customWidth="1"/>
    <col min="35" max="35" width="3.7109375" style="10" customWidth="1"/>
    <col min="36" max="36" width="16.7109375" style="324" customWidth="1"/>
    <col min="37" max="37" width="16.7109375" style="157" customWidth="1"/>
    <col min="38" max="38" width="3.7109375" style="10" customWidth="1"/>
    <col min="39" max="39" width="16.7109375" style="324" customWidth="1"/>
    <col min="40" max="40" width="16.7109375" style="157" customWidth="1"/>
    <col min="41" max="41" width="3.7109375" style="10" customWidth="1"/>
    <col min="42" max="42" width="16.7109375" style="324" customWidth="1"/>
    <col min="43" max="43" width="16.7109375" style="157" customWidth="1"/>
    <col min="44" max="44" width="3.7109375" style="10" customWidth="1"/>
    <col min="45" max="45" width="16.7109375" style="324" customWidth="1"/>
    <col min="46" max="46" width="16.7109375" style="157" customWidth="1"/>
    <col min="47" max="47" width="3.7109375" style="10" customWidth="1"/>
    <col min="48" max="48" width="16.7109375" style="324" customWidth="1"/>
    <col min="49" max="49" width="16.7109375" style="157" customWidth="1"/>
    <col min="50" max="50" width="3.7109375" style="10" customWidth="1"/>
    <col min="51" max="51" width="16.7109375" style="324" customWidth="1"/>
    <col min="52" max="52" width="16.7109375" style="157" customWidth="1"/>
    <col min="53" max="53" width="3.7109375" style="10" customWidth="1"/>
    <col min="54" max="54" width="16.7109375" style="324" customWidth="1"/>
    <col min="55" max="55" width="16.7109375" style="157" customWidth="1"/>
    <col min="56" max="56" width="3.7109375" style="10" customWidth="1"/>
    <col min="57" max="57" width="16.7109375" style="324" customWidth="1"/>
    <col min="58" max="58" width="16.7109375" style="157" customWidth="1"/>
    <col min="59" max="59" width="3.7109375" style="10" customWidth="1"/>
    <col min="60" max="60" width="16.7109375" style="324" customWidth="1"/>
    <col min="61" max="61" width="16.7109375" style="157" customWidth="1"/>
    <col min="62" max="62" width="3.7109375" style="10" customWidth="1"/>
    <col min="63" max="63" width="16.7109375" style="324" customWidth="1"/>
    <col min="64" max="64" width="16.7109375" style="157" customWidth="1"/>
    <col min="65" max="65" width="6.28515625" style="157" customWidth="1"/>
    <col min="66" max="66" width="16.7109375" style="324" customWidth="1"/>
    <col min="67" max="67" width="16.7109375" style="157" customWidth="1"/>
    <col min="68" max="68" width="6.28515625" style="157" customWidth="1"/>
    <col min="69" max="69" width="16.7109375" style="324" customWidth="1"/>
    <col min="70" max="70" width="16.7109375" style="157" customWidth="1"/>
    <col min="71" max="71" width="6.28515625" style="157" customWidth="1"/>
    <col min="72" max="72" width="16.7109375" style="324" customWidth="1"/>
    <col min="73" max="73" width="16.7109375" style="157" customWidth="1"/>
    <col min="74" max="74" width="6.28515625" style="157" customWidth="1"/>
    <col min="75" max="75" width="16.7109375" style="324" customWidth="1"/>
    <col min="76" max="76" width="16.7109375" style="157" customWidth="1"/>
    <col min="77" max="77" width="6.28515625" style="157" customWidth="1"/>
    <col min="78" max="78" width="16.7109375" style="324" customWidth="1"/>
    <col min="79" max="79" width="16.7109375" style="157" customWidth="1"/>
    <col min="80" max="80" width="6.28515625" style="157" customWidth="1"/>
    <col min="81" max="81" width="16.7109375" style="324" customWidth="1"/>
    <col min="82" max="82" width="16.7109375" style="157" customWidth="1"/>
    <col min="83" max="83" width="6.28515625" style="157" customWidth="1"/>
    <col min="84" max="84" width="16.7109375" style="324" customWidth="1"/>
    <col min="85" max="85" width="16.7109375" style="157" customWidth="1"/>
    <col min="86" max="86" width="6.28515625" style="157" customWidth="1"/>
    <col min="87" max="87" width="16.7109375" style="324" customWidth="1"/>
    <col min="88" max="88" width="16.7109375" style="157" customWidth="1"/>
    <col min="89" max="89" width="6.28515625" style="157" customWidth="1"/>
    <col min="90" max="90" width="16.7109375" style="324" customWidth="1"/>
    <col min="91" max="91" width="16.7109375" style="157" customWidth="1"/>
    <col min="92" max="92" width="6.28515625" style="157" customWidth="1"/>
    <col min="93" max="93" width="16.7109375" style="324" customWidth="1"/>
    <col min="94" max="94" width="16.7109375" style="157" customWidth="1"/>
    <col min="95" max="95" width="6.28515625" style="157" customWidth="1"/>
    <col min="96" max="96" width="16.7109375" style="324" customWidth="1"/>
    <col min="97" max="97" width="16.7109375" style="157" customWidth="1"/>
    <col min="98" max="98" width="6.28515625" style="157" customWidth="1"/>
    <col min="99" max="99" width="16.7109375" style="324" customWidth="1"/>
    <col min="100" max="100" width="16.7109375" style="157" customWidth="1"/>
    <col min="101" max="101" width="6.28515625" style="157" customWidth="1"/>
    <col min="102" max="102" width="16.7109375" style="324" customWidth="1"/>
    <col min="103" max="103" width="16.7109375" style="157" customWidth="1"/>
    <col min="104" max="104" width="6.28515625" style="157" customWidth="1"/>
    <col min="105" max="105" width="16.7109375" style="324" customWidth="1"/>
    <col min="106" max="106" width="16.7109375" style="157" customWidth="1"/>
    <col min="107" max="107" width="6.28515625" style="157" customWidth="1"/>
    <col min="108" max="108" width="16.7109375" style="324" customWidth="1"/>
    <col min="109" max="109" width="16.7109375" style="157" customWidth="1"/>
    <col min="110" max="110" width="3.7109375" style="10" customWidth="1"/>
    <col min="111" max="111" width="16.7109375" style="324" customWidth="1"/>
    <col min="112" max="112" width="16.7109375" style="157" customWidth="1"/>
    <col min="113" max="113" width="3.7109375" style="10" customWidth="1"/>
    <col min="114" max="114" width="16.7109375" style="324" customWidth="1"/>
    <col min="115" max="115" width="16.7109375" style="157" customWidth="1"/>
    <col min="116" max="116" width="3.7109375" style="10" customWidth="1"/>
    <col min="117" max="117" width="16.7109375" style="324" customWidth="1"/>
    <col min="118" max="118" width="16.7109375" style="157" customWidth="1"/>
    <col min="119" max="120" width="3.7109375" style="10" customWidth="1"/>
    <col min="121" max="121" width="16.7109375" style="324" customWidth="1"/>
    <col min="122" max="122" width="16.7109375" style="157" customWidth="1"/>
    <col min="123" max="123" width="3.7109375" style="10" customWidth="1"/>
    <col min="124" max="124" width="16.7109375" style="324" customWidth="1"/>
    <col min="125" max="125" width="16.7109375" style="157" customWidth="1"/>
    <col min="126" max="126" width="3.7109375" style="10" customWidth="1"/>
    <col min="127" max="127" width="16.7109375" style="324" customWidth="1"/>
    <col min="128" max="128" width="16.7109375" style="157" customWidth="1"/>
    <col min="129" max="129" width="6.28515625" style="157" customWidth="1"/>
    <col min="130" max="130" width="16.7109375" style="368" customWidth="1"/>
    <col min="131" max="131" width="16.7109375" style="339" customWidth="1"/>
    <col min="132" max="132" width="3.5703125" style="339" customWidth="1"/>
    <col min="133" max="133" width="16.7109375" style="368" customWidth="1"/>
    <col min="134" max="134" width="16.7109375" style="339" customWidth="1"/>
    <col min="135" max="135" width="7.5703125" style="339" customWidth="1"/>
    <col min="136" max="136" width="16.7109375" style="368" customWidth="1"/>
    <col min="137" max="137" width="16.7109375" style="339" customWidth="1"/>
    <col min="138" max="138" width="3.5703125" style="339" customWidth="1"/>
    <col min="139" max="139" width="16.7109375" style="368" customWidth="1"/>
    <col min="140" max="140" width="16.7109375" style="339" customWidth="1"/>
    <col min="141" max="141" width="7.5703125" style="339" customWidth="1"/>
    <col min="142" max="142" width="16.7109375" style="172" customWidth="1"/>
    <col min="143" max="143" width="16.7109375" style="157" customWidth="1"/>
    <col min="144" max="144" width="3.7109375" style="157" customWidth="1"/>
    <col min="145" max="145" width="16.7109375" style="172" customWidth="1"/>
    <col min="146" max="146" width="16.7109375" style="157" customWidth="1"/>
    <col min="147" max="147" width="7.5703125" style="157" customWidth="1"/>
    <col min="148" max="148" width="16.7109375" style="172" customWidth="1"/>
    <col min="149" max="149" width="16.7109375" style="157" customWidth="1"/>
    <col min="150" max="150" width="6.28515625" style="157" customWidth="1"/>
    <col min="151" max="151" width="16.7109375" style="70" customWidth="1"/>
    <col min="152" max="152" width="16.7109375" style="10" customWidth="1"/>
    <col min="153" max="153" width="4" style="10" customWidth="1"/>
    <col min="154" max="154" width="16.7109375" style="70" customWidth="1"/>
    <col min="155" max="155" width="16.7109375" style="10" customWidth="1"/>
    <col min="156" max="156" width="3" style="10" customWidth="1"/>
    <col min="157" max="157" width="16" style="70" customWidth="1"/>
    <col min="158" max="158" width="16" style="10" customWidth="1"/>
    <col min="159" max="159" width="3.7109375" style="10" customWidth="1"/>
    <col min="160" max="160" width="14.7109375" style="70" customWidth="1"/>
    <col min="161" max="161" width="14.7109375" style="10" customWidth="1"/>
    <col min="162" max="162" width="3.7109375" style="10" customWidth="1"/>
    <col min="163" max="163" width="16.5703125" style="70" customWidth="1"/>
    <col min="164" max="164" width="16.5703125" style="10" customWidth="1"/>
    <col min="165" max="165" width="4" style="10" customWidth="1"/>
    <col min="166" max="166" width="14.7109375" style="70" customWidth="1"/>
    <col min="167" max="167" width="14.7109375" style="10" customWidth="1"/>
    <col min="168" max="168" width="4.28515625" style="10" customWidth="1"/>
    <col min="169" max="169" width="14.7109375" style="70" customWidth="1"/>
    <col min="170" max="170" width="14.7109375" style="10" customWidth="1"/>
    <col min="171" max="171" width="3.7109375" style="10" customWidth="1"/>
    <col min="172" max="172" width="15" style="70" customWidth="1"/>
    <col min="173" max="173" width="15" style="10" customWidth="1"/>
    <col min="174" max="174" width="3.28515625" style="10" customWidth="1"/>
    <col min="175" max="176" width="14.7109375" style="10" customWidth="1"/>
    <col min="177" max="177" width="4.7109375" style="10" customWidth="1"/>
    <col min="178" max="178" width="16.28515625" style="70" customWidth="1"/>
    <col min="179" max="179" width="16.28515625" style="10" customWidth="1"/>
    <col min="180" max="180" width="3.7109375" style="10" customWidth="1"/>
    <col min="181" max="182" width="15" style="10" customWidth="1"/>
    <col min="183" max="183" width="5.7109375" style="10" customWidth="1"/>
    <col min="184" max="184" width="14" style="70" customWidth="1"/>
    <col min="185" max="185" width="14" style="10" customWidth="1"/>
    <col min="186" max="186" width="3.7109375" style="10" customWidth="1"/>
    <col min="187" max="188" width="15" style="10" customWidth="1"/>
    <col min="189" max="189" width="5.7109375" style="10" customWidth="1"/>
    <col min="190" max="190" width="14.7109375" style="70" customWidth="1"/>
    <col min="191" max="191" width="14.7109375" style="10" customWidth="1"/>
    <col min="192" max="192" width="3.7109375" style="10" customWidth="1"/>
    <col min="193" max="194" width="11.28515625" style="10" customWidth="1"/>
    <col min="195" max="195" width="3.7109375" style="10" customWidth="1"/>
    <col min="196" max="196" width="14.28515625" style="10" customWidth="1"/>
    <col min="197" max="197" width="15.42578125" style="10" customWidth="1"/>
    <col min="198" max="198" width="3.7109375" style="10" customWidth="1"/>
    <col min="199" max="200" width="18.28515625" style="10" customWidth="1"/>
    <col min="201" max="201" width="3.7109375" style="10" customWidth="1"/>
    <col min="202" max="203" width="16" style="10" customWidth="1"/>
    <col min="204" max="204" width="3.7109375" style="10" customWidth="1"/>
    <col min="205" max="206" width="16.7109375" style="10" customWidth="1"/>
    <col min="207" max="207" width="3.7109375" style="10" customWidth="1"/>
    <col min="208" max="209" width="16.42578125" style="10" customWidth="1"/>
    <col min="210" max="210" width="3.7109375" style="10" customWidth="1"/>
    <col min="211" max="212" width="16.28515625" style="10" customWidth="1"/>
    <col min="213" max="213" width="3.7109375" style="10" customWidth="1"/>
    <col min="214" max="214" width="31.7109375" style="10" bestFit="1" customWidth="1"/>
    <col min="215" max="216" width="13" style="10" customWidth="1"/>
    <col min="217" max="217" width="3.7109375" style="10" customWidth="1"/>
    <col min="218" max="219" width="12.42578125" style="10" customWidth="1"/>
    <col min="220" max="220" width="3.7109375" style="10" customWidth="1"/>
    <col min="221" max="222" width="12.7109375" style="10" customWidth="1"/>
    <col min="223" max="223" width="3.7109375" style="10" customWidth="1"/>
    <col min="224" max="225" width="12.28515625" style="10" customWidth="1"/>
    <col min="226" max="16384" width="9.28515625" style="10"/>
  </cols>
  <sheetData>
    <row r="1" spans="1:307" ht="20.25">
      <c r="A1" s="1" t="s">
        <v>202</v>
      </c>
      <c r="B1" s="58"/>
      <c r="C1" s="656"/>
      <c r="D1" s="657"/>
      <c r="E1" s="658"/>
      <c r="F1" s="656"/>
      <c r="G1" s="657"/>
      <c r="H1" s="658"/>
      <c r="I1" s="656"/>
      <c r="J1" s="657"/>
      <c r="K1" s="658"/>
      <c r="L1" s="656"/>
      <c r="M1" s="657"/>
      <c r="N1" s="658"/>
      <c r="O1" s="656"/>
      <c r="P1" s="657"/>
      <c r="Q1" s="58"/>
      <c r="R1" s="656"/>
      <c r="S1" s="657"/>
      <c r="T1" s="658"/>
      <c r="U1" s="656"/>
      <c r="V1" s="657"/>
      <c r="W1" s="658"/>
      <c r="X1" s="656"/>
      <c r="Y1" s="657"/>
      <c r="Z1" s="658"/>
      <c r="AA1" s="656"/>
      <c r="AB1" s="657"/>
      <c r="AC1" s="658"/>
      <c r="AD1" s="656"/>
      <c r="AE1" s="657"/>
      <c r="AF1" s="658"/>
      <c r="AG1" s="617"/>
      <c r="AH1" s="618"/>
      <c r="AI1" s="607"/>
      <c r="AJ1" s="617"/>
      <c r="AK1" s="618"/>
      <c r="AL1" s="607"/>
      <c r="AM1" s="617"/>
      <c r="AN1" s="618"/>
      <c r="AO1" s="607"/>
      <c r="AP1" s="617"/>
      <c r="AQ1" s="618"/>
      <c r="AR1" s="607"/>
      <c r="AS1" s="617"/>
      <c r="AT1" s="618"/>
      <c r="AU1" s="607"/>
      <c r="AV1" s="617"/>
      <c r="AW1" s="618"/>
      <c r="AX1" s="607"/>
      <c r="AY1" s="369"/>
      <c r="AZ1" s="155"/>
      <c r="BA1" s="58"/>
      <c r="BB1" s="369"/>
      <c r="BC1" s="155"/>
      <c r="BD1" s="58"/>
      <c r="BE1" s="369"/>
      <c r="BF1" s="155"/>
      <c r="BG1" s="58"/>
      <c r="BH1" s="369"/>
      <c r="BI1" s="155"/>
      <c r="BJ1" s="58"/>
      <c r="BK1" s="369"/>
      <c r="BL1" s="155"/>
      <c r="BM1" s="153"/>
      <c r="BN1" s="369"/>
      <c r="BO1" s="155"/>
      <c r="BP1" s="153"/>
      <c r="BQ1" s="369"/>
      <c r="BR1" s="155"/>
      <c r="BS1" s="153"/>
      <c r="BT1" s="369"/>
      <c r="BU1" s="155"/>
      <c r="BV1" s="153"/>
      <c r="BW1" s="369"/>
      <c r="BX1" s="155"/>
      <c r="BY1" s="153"/>
      <c r="BZ1" s="369"/>
      <c r="CA1" s="155"/>
      <c r="CB1" s="153"/>
      <c r="CC1" s="369"/>
      <c r="CD1" s="155"/>
      <c r="CE1" s="153"/>
      <c r="CF1" s="369"/>
      <c r="CG1" s="155"/>
      <c r="CH1" s="153"/>
      <c r="CI1" s="369"/>
      <c r="CJ1" s="155"/>
      <c r="CK1" s="153"/>
      <c r="CL1" s="369"/>
      <c r="CM1" s="155"/>
      <c r="CN1" s="153"/>
      <c r="CO1" s="369"/>
      <c r="CP1" s="155"/>
      <c r="CQ1" s="153"/>
      <c r="CR1" s="369"/>
      <c r="CS1" s="155"/>
      <c r="CT1" s="153"/>
      <c r="CU1" s="369"/>
      <c r="CV1" s="155"/>
      <c r="CW1" s="153"/>
      <c r="CX1" s="369"/>
      <c r="CY1" s="155"/>
      <c r="CZ1" s="153"/>
      <c r="DA1" s="369"/>
      <c r="DB1" s="155"/>
      <c r="DC1" s="153"/>
      <c r="DD1" s="369"/>
      <c r="DE1" s="155"/>
      <c r="DF1" s="58"/>
      <c r="DG1" s="369"/>
      <c r="DH1" s="155"/>
      <c r="DI1" s="58"/>
      <c r="DJ1" s="369"/>
      <c r="DK1" s="155"/>
      <c r="DL1" s="58"/>
      <c r="DM1" s="369"/>
      <c r="DN1" s="155"/>
      <c r="DO1" s="58"/>
      <c r="DP1" s="58"/>
      <c r="DQ1" s="369"/>
      <c r="DR1" s="155"/>
      <c r="DS1" s="58"/>
      <c r="DT1" s="369"/>
      <c r="DU1" s="155"/>
      <c r="DV1" s="58"/>
      <c r="DW1" s="369"/>
      <c r="DX1" s="155"/>
      <c r="DY1" s="153"/>
      <c r="DZ1" s="360"/>
      <c r="EA1" s="361"/>
      <c r="EB1" s="338"/>
      <c r="EC1" s="360"/>
      <c r="ED1" s="361"/>
      <c r="EE1" s="338"/>
      <c r="EF1" s="360"/>
      <c r="EG1" s="361"/>
      <c r="EH1" s="338"/>
      <c r="EI1" s="360"/>
      <c r="EJ1" s="361"/>
      <c r="EK1" s="338"/>
      <c r="EL1" s="322"/>
      <c r="EM1" s="155"/>
      <c r="EN1" s="153"/>
      <c r="EO1" s="322"/>
      <c r="EP1" s="155"/>
      <c r="EQ1" s="153"/>
      <c r="ER1" s="322"/>
      <c r="ES1" s="155"/>
      <c r="ET1" s="153"/>
      <c r="EU1" s="69"/>
      <c r="EV1" s="2"/>
      <c r="EW1" s="58"/>
      <c r="EX1" s="69"/>
      <c r="EY1" s="2"/>
      <c r="EZ1" s="58"/>
      <c r="FA1" s="69"/>
      <c r="FB1" s="2"/>
      <c r="FC1" s="58"/>
      <c r="FD1" s="69"/>
      <c r="FE1" s="2"/>
      <c r="FF1" s="58"/>
      <c r="FG1" s="69"/>
      <c r="FH1" s="2"/>
      <c r="FI1" s="58"/>
      <c r="FJ1" s="69"/>
      <c r="FK1" s="2"/>
      <c r="FL1" s="58"/>
      <c r="FM1" s="69"/>
      <c r="FN1" s="2"/>
      <c r="FO1" s="58"/>
      <c r="FP1" s="69"/>
      <c r="FQ1" s="2"/>
      <c r="FR1" s="58"/>
      <c r="FS1" s="2"/>
      <c r="FT1" s="2"/>
      <c r="FU1" s="58"/>
      <c r="FV1" s="69"/>
      <c r="FW1" s="2"/>
      <c r="FX1" s="58"/>
      <c r="FY1" s="2"/>
      <c r="FZ1" s="2"/>
      <c r="GA1" s="58"/>
      <c r="GB1" s="69"/>
      <c r="GC1" s="2"/>
      <c r="GD1" s="58"/>
      <c r="GE1" s="2"/>
      <c r="GF1" s="2"/>
      <c r="GG1" s="58"/>
      <c r="GH1" s="69"/>
      <c r="GI1" s="2"/>
      <c r="GJ1" s="58"/>
      <c r="GK1" s="2"/>
      <c r="GL1" s="2"/>
      <c r="GM1" s="58"/>
      <c r="GN1" s="2"/>
      <c r="GO1" s="2"/>
      <c r="GP1" s="58"/>
      <c r="GQ1" s="2"/>
      <c r="GR1" s="2"/>
      <c r="GS1" s="5"/>
      <c r="GT1" s="2"/>
      <c r="GU1" s="2"/>
      <c r="GV1" s="5"/>
      <c r="GW1" s="2"/>
      <c r="GX1" s="2"/>
      <c r="GY1" s="5"/>
      <c r="GZ1" s="2"/>
      <c r="HA1" s="2"/>
      <c r="HB1" s="5"/>
      <c r="HC1" s="2"/>
      <c r="HD1" s="2"/>
      <c r="HE1" s="5"/>
      <c r="HF1" s="1" t="s">
        <v>28</v>
      </c>
      <c r="HG1" s="2"/>
      <c r="HH1" s="2"/>
      <c r="HI1" s="5"/>
      <c r="HJ1" s="3"/>
      <c r="HK1" s="3"/>
      <c r="HL1" s="5"/>
      <c r="HM1" s="5"/>
      <c r="HN1" s="5"/>
      <c r="HO1" s="5"/>
      <c r="HP1" s="5"/>
      <c r="HQ1" s="5"/>
    </row>
    <row r="2" spans="1:307" ht="20.25">
      <c r="A2" s="58"/>
      <c r="B2" s="5"/>
      <c r="C2" s="689" t="s">
        <v>978</v>
      </c>
      <c r="D2" s="690"/>
      <c r="E2" s="5"/>
      <c r="F2" s="689" t="s">
        <v>978</v>
      </c>
      <c r="G2" s="690"/>
      <c r="H2" s="5"/>
      <c r="I2" s="689" t="s">
        <v>978</v>
      </c>
      <c r="J2" s="690"/>
      <c r="K2" s="5"/>
      <c r="L2" s="690"/>
      <c r="M2" s="690"/>
      <c r="N2" s="5"/>
      <c r="O2" s="690"/>
      <c r="P2" s="690"/>
      <c r="Q2" s="5"/>
      <c r="R2" s="690"/>
      <c r="S2" s="690"/>
      <c r="T2" s="5"/>
      <c r="U2" s="690"/>
      <c r="V2" s="690"/>
      <c r="W2" s="5"/>
      <c r="X2" s="690"/>
      <c r="Y2" s="690"/>
      <c r="Z2" s="5"/>
      <c r="AA2" s="690"/>
      <c r="AB2" s="690"/>
      <c r="AC2" s="5"/>
      <c r="AD2" s="690"/>
      <c r="AE2" s="690"/>
      <c r="AF2" s="5"/>
      <c r="AG2" s="691"/>
      <c r="AH2" s="691"/>
      <c r="AI2" s="5"/>
      <c r="AJ2" s="691"/>
      <c r="AK2" s="691"/>
      <c r="AL2" s="5"/>
      <c r="AM2" s="691"/>
      <c r="AN2" s="691"/>
      <c r="AO2" s="5"/>
      <c r="AP2" s="691"/>
      <c r="AQ2" s="691"/>
      <c r="AR2" s="5"/>
      <c r="AS2" s="691"/>
      <c r="AT2" s="691"/>
      <c r="AU2" s="5"/>
      <c r="AV2" s="691"/>
      <c r="AW2" s="691"/>
      <c r="AX2" s="5"/>
      <c r="AY2" s="689"/>
      <c r="AZ2" s="689"/>
      <c r="BA2" s="5"/>
      <c r="BB2" s="689"/>
      <c r="BC2" s="689"/>
      <c r="BD2" s="5"/>
      <c r="BE2" s="689"/>
      <c r="BF2" s="689"/>
      <c r="BG2" s="5"/>
      <c r="BH2" s="689"/>
      <c r="BI2" s="689"/>
      <c r="BJ2" s="5"/>
      <c r="BK2" s="689"/>
      <c r="BL2" s="689"/>
      <c r="BM2" s="150"/>
      <c r="BN2" s="689"/>
      <c r="BO2" s="689"/>
      <c r="BP2" s="150"/>
      <c r="BQ2" s="689"/>
      <c r="BR2" s="689"/>
      <c r="BS2" s="150"/>
      <c r="BT2" s="689"/>
      <c r="BU2" s="689"/>
      <c r="BV2" s="150"/>
      <c r="BW2" s="689"/>
      <c r="BX2" s="689"/>
      <c r="BY2" s="150"/>
      <c r="BZ2" s="689"/>
      <c r="CA2" s="689"/>
      <c r="CB2" s="150"/>
      <c r="CC2" s="689"/>
      <c r="CD2" s="689"/>
      <c r="CE2" s="150"/>
      <c r="CF2" s="689"/>
      <c r="CG2" s="689"/>
      <c r="CH2" s="150"/>
      <c r="CI2" s="689"/>
      <c r="CJ2" s="689"/>
      <c r="CK2" s="150"/>
      <c r="CL2" s="689"/>
      <c r="CM2" s="689"/>
      <c r="CN2" s="150"/>
      <c r="CO2" s="689"/>
      <c r="CP2" s="689"/>
      <c r="CQ2" s="150"/>
      <c r="CR2" s="689"/>
      <c r="CS2" s="689"/>
      <c r="CT2" s="150"/>
      <c r="CU2" s="689"/>
      <c r="CV2" s="689"/>
      <c r="CW2" s="150"/>
      <c r="CX2" s="689"/>
      <c r="CY2" s="689"/>
      <c r="CZ2" s="150"/>
      <c r="DA2" s="689"/>
      <c r="DB2" s="689"/>
      <c r="DC2" s="150"/>
      <c r="DD2" s="689"/>
      <c r="DE2" s="689"/>
      <c r="DF2" s="5"/>
      <c r="DG2" s="689"/>
      <c r="DH2" s="689"/>
      <c r="DI2" s="5"/>
      <c r="DJ2" s="689"/>
      <c r="DK2" s="689"/>
      <c r="DL2" s="5"/>
      <c r="DM2" s="689"/>
      <c r="DN2" s="689"/>
      <c r="DO2" s="5"/>
      <c r="DP2" s="5"/>
      <c r="DQ2" s="689"/>
      <c r="DR2" s="689"/>
      <c r="DS2" s="5"/>
      <c r="DT2" s="689"/>
      <c r="DU2" s="689"/>
      <c r="DV2" s="5"/>
      <c r="DW2" s="689"/>
      <c r="DX2" s="689"/>
      <c r="DY2" s="150"/>
      <c r="DZ2" s="688"/>
      <c r="EA2" s="688"/>
      <c r="EB2" s="362"/>
      <c r="EC2" s="688"/>
      <c r="ED2" s="688"/>
      <c r="EE2" s="362"/>
      <c r="EF2" s="688"/>
      <c r="EG2" s="688"/>
      <c r="EH2" s="362"/>
      <c r="EI2" s="688"/>
      <c r="EJ2" s="688"/>
      <c r="EK2" s="362"/>
      <c r="EL2" s="689"/>
      <c r="EM2" s="689"/>
      <c r="EN2" s="150"/>
      <c r="EO2" s="689"/>
      <c r="EP2" s="689"/>
      <c r="EQ2" s="150"/>
      <c r="ER2" s="689"/>
      <c r="ES2" s="689"/>
      <c r="ET2" s="150"/>
      <c r="EU2" s="689"/>
      <c r="EV2" s="689"/>
      <c r="EW2" s="5"/>
      <c r="EX2" s="687"/>
      <c r="EY2" s="687"/>
      <c r="EZ2" s="150"/>
      <c r="FA2" s="689"/>
      <c r="FB2" s="689"/>
      <c r="FC2" s="150"/>
      <c r="FD2" s="687"/>
      <c r="FE2" s="687"/>
      <c r="FF2" s="150"/>
      <c r="FG2" s="689"/>
      <c r="FH2" s="689"/>
      <c r="FI2" s="150"/>
      <c r="FJ2" s="687"/>
      <c r="FK2" s="687"/>
      <c r="FL2" s="150"/>
      <c r="FM2" s="687"/>
      <c r="FN2" s="687"/>
      <c r="FO2" s="150"/>
      <c r="FP2" s="689"/>
      <c r="FQ2" s="689"/>
      <c r="FR2" s="150"/>
      <c r="FS2" s="687"/>
      <c r="FT2" s="687"/>
      <c r="FU2" s="150"/>
      <c r="FV2" s="689"/>
      <c r="FW2" s="689"/>
      <c r="FX2" s="150"/>
      <c r="FY2" s="687"/>
      <c r="FZ2" s="687"/>
      <c r="GA2" s="150"/>
      <c r="GB2" s="689"/>
      <c r="GC2" s="689"/>
      <c r="GD2" s="150"/>
      <c r="GE2" s="687"/>
      <c r="GF2" s="687"/>
      <c r="GG2" s="150"/>
      <c r="GH2" s="687"/>
      <c r="GI2" s="687"/>
      <c r="GJ2" s="150"/>
      <c r="GK2" s="689"/>
      <c r="GL2" s="689"/>
      <c r="GM2" s="150"/>
      <c r="GN2" s="687"/>
      <c r="GO2" s="687"/>
      <c r="GP2" s="153"/>
      <c r="GQ2" s="689"/>
      <c r="GR2" s="689"/>
      <c r="GS2" s="150"/>
      <c r="GT2" s="687"/>
      <c r="GU2" s="687"/>
      <c r="GV2" s="150"/>
      <c r="GW2" s="689"/>
      <c r="GX2" s="689"/>
      <c r="GY2" s="150"/>
      <c r="GZ2" s="687"/>
      <c r="HA2" s="687"/>
      <c r="HB2" s="150"/>
      <c r="HC2" s="687"/>
      <c r="HD2" s="687"/>
      <c r="HE2" s="150"/>
      <c r="HF2" s="153"/>
      <c r="HG2" s="154"/>
      <c r="HH2" s="154"/>
      <c r="HI2" s="150"/>
      <c r="HJ2" s="155"/>
      <c r="HK2" s="155"/>
      <c r="HL2" s="150"/>
      <c r="HM2" s="156"/>
      <c r="HN2" s="156"/>
      <c r="HO2" s="150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</row>
    <row r="3" spans="1:307" ht="36" customHeight="1">
      <c r="A3" s="63" t="s">
        <v>372</v>
      </c>
      <c r="B3" s="64"/>
      <c r="C3" s="264" t="s">
        <v>959</v>
      </c>
      <c r="D3" s="264" t="s">
        <v>845</v>
      </c>
      <c r="E3" s="620"/>
      <c r="F3" s="264" t="s">
        <v>977</v>
      </c>
      <c r="G3" s="264" t="s">
        <v>829</v>
      </c>
      <c r="H3" s="620"/>
      <c r="I3" s="264" t="s">
        <v>857</v>
      </c>
      <c r="J3" s="264" t="s">
        <v>790</v>
      </c>
      <c r="K3" s="620"/>
      <c r="L3" s="264" t="s">
        <v>870</v>
      </c>
      <c r="M3" s="619" t="s">
        <v>813</v>
      </c>
      <c r="N3" s="620"/>
      <c r="O3" s="264" t="s">
        <v>856</v>
      </c>
      <c r="P3" s="619" t="s">
        <v>791</v>
      </c>
      <c r="Q3" s="64"/>
      <c r="R3" s="264" t="s">
        <v>854</v>
      </c>
      <c r="S3" s="619" t="s">
        <v>797</v>
      </c>
      <c r="T3" s="620"/>
      <c r="U3" s="264" t="s">
        <v>855</v>
      </c>
      <c r="V3" s="619" t="s">
        <v>792</v>
      </c>
      <c r="W3" s="660"/>
      <c r="X3" s="264" t="s">
        <v>845</v>
      </c>
      <c r="Y3" s="264" t="s">
        <v>789</v>
      </c>
      <c r="Z3" s="660"/>
      <c r="AA3" s="659" t="s">
        <v>829</v>
      </c>
      <c r="AB3" s="659" t="s">
        <v>763</v>
      </c>
      <c r="AC3" s="660"/>
      <c r="AD3" s="659" t="s">
        <v>790</v>
      </c>
      <c r="AE3" s="659" t="s">
        <v>715</v>
      </c>
      <c r="AF3" s="660"/>
      <c r="AG3" s="264" t="s">
        <v>813</v>
      </c>
      <c r="AH3" s="264" t="s">
        <v>733</v>
      </c>
      <c r="AI3" s="620"/>
      <c r="AJ3" s="264" t="s">
        <v>791</v>
      </c>
      <c r="AK3" s="264" t="s">
        <v>714</v>
      </c>
      <c r="AL3" s="620"/>
      <c r="AM3" s="619" t="s">
        <v>797</v>
      </c>
      <c r="AN3" s="619" t="s">
        <v>712</v>
      </c>
      <c r="AO3" s="620"/>
      <c r="AP3" s="619" t="s">
        <v>792</v>
      </c>
      <c r="AQ3" s="619" t="s">
        <v>713</v>
      </c>
      <c r="AR3" s="620"/>
      <c r="AS3" s="619" t="s">
        <v>715</v>
      </c>
      <c r="AT3" s="619" t="s">
        <v>631</v>
      </c>
      <c r="AU3" s="620"/>
      <c r="AV3" s="619" t="s">
        <v>776</v>
      </c>
      <c r="AW3" s="619" t="s">
        <v>777</v>
      </c>
      <c r="AX3" s="621"/>
      <c r="AY3" s="264" t="s">
        <v>714</v>
      </c>
      <c r="AZ3" s="264" t="s">
        <v>632</v>
      </c>
      <c r="BA3" s="158"/>
      <c r="BB3" s="264" t="s">
        <v>733</v>
      </c>
      <c r="BC3" s="264" t="s">
        <v>654</v>
      </c>
      <c r="BD3" s="64"/>
      <c r="BE3" s="264" t="s">
        <v>713</v>
      </c>
      <c r="BF3" s="363" t="s">
        <v>642</v>
      </c>
      <c r="BG3" s="64"/>
      <c r="BH3" s="264" t="s">
        <v>712</v>
      </c>
      <c r="BI3" s="363" t="s">
        <v>641</v>
      </c>
      <c r="BJ3" s="64"/>
      <c r="BK3" s="264" t="s">
        <v>702</v>
      </c>
      <c r="BL3" s="363" t="s">
        <v>630</v>
      </c>
      <c r="BM3" s="158"/>
      <c r="BN3" s="264" t="s">
        <v>631</v>
      </c>
      <c r="BO3" s="363" t="s">
        <v>613</v>
      </c>
      <c r="BP3" s="158"/>
      <c r="BQ3" s="264" t="s">
        <v>668</v>
      </c>
      <c r="BR3" s="363" t="s">
        <v>611</v>
      </c>
      <c r="BS3" s="158"/>
      <c r="BT3" s="264" t="s">
        <v>632</v>
      </c>
      <c r="BU3" s="363" t="s">
        <v>598</v>
      </c>
      <c r="BV3" s="158"/>
      <c r="BW3" s="264" t="s">
        <v>654</v>
      </c>
      <c r="BX3" s="363" t="s">
        <v>597</v>
      </c>
      <c r="BY3" s="158"/>
      <c r="BZ3" s="264" t="s">
        <v>642</v>
      </c>
      <c r="CA3" s="363" t="s">
        <v>642</v>
      </c>
      <c r="CB3" s="158"/>
      <c r="CC3" s="264" t="s">
        <v>641</v>
      </c>
      <c r="CD3" s="363" t="s">
        <v>585</v>
      </c>
      <c r="CE3" s="158"/>
      <c r="CF3" s="264" t="s">
        <v>630</v>
      </c>
      <c r="CG3" s="363" t="s">
        <v>575</v>
      </c>
      <c r="CH3" s="158"/>
      <c r="CI3" s="264" t="s">
        <v>613</v>
      </c>
      <c r="CJ3" s="363" t="s">
        <v>574</v>
      </c>
      <c r="CK3" s="158"/>
      <c r="CL3" s="264" t="s">
        <v>624</v>
      </c>
      <c r="CM3" s="363" t="s">
        <v>625</v>
      </c>
      <c r="CN3" s="158"/>
      <c r="CO3" s="264" t="s">
        <v>598</v>
      </c>
      <c r="CP3" s="363" t="s">
        <v>560</v>
      </c>
      <c r="CQ3" s="158"/>
      <c r="CR3" s="264" t="s">
        <v>597</v>
      </c>
      <c r="CS3" s="363" t="s">
        <v>559</v>
      </c>
      <c r="CT3" s="158"/>
      <c r="CU3" s="264" t="s">
        <v>584</v>
      </c>
      <c r="CV3" s="363" t="s">
        <v>547</v>
      </c>
      <c r="CW3" s="158"/>
      <c r="CX3" s="264" t="s">
        <v>585</v>
      </c>
      <c r="CY3" s="363" t="s">
        <v>586</v>
      </c>
      <c r="CZ3" s="158"/>
      <c r="DA3" s="264" t="s">
        <v>575</v>
      </c>
      <c r="DB3" s="363" t="s">
        <v>533</v>
      </c>
      <c r="DC3" s="158"/>
      <c r="DD3" s="363">
        <v>2019</v>
      </c>
      <c r="DE3" s="363">
        <v>2018</v>
      </c>
      <c r="DF3" s="364"/>
      <c r="DG3" s="363" t="s">
        <v>574</v>
      </c>
      <c r="DH3" s="363" t="s">
        <v>566</v>
      </c>
      <c r="DI3" s="364"/>
      <c r="DJ3" s="363" t="s">
        <v>559</v>
      </c>
      <c r="DK3" s="363" t="s">
        <v>498</v>
      </c>
      <c r="DL3" s="364"/>
      <c r="DM3" s="363" t="s">
        <v>560</v>
      </c>
      <c r="DN3" s="363" t="s">
        <v>499</v>
      </c>
      <c r="DO3" s="364"/>
      <c r="DP3" s="364"/>
      <c r="DQ3" s="363" t="s">
        <v>548</v>
      </c>
      <c r="DR3" s="363" t="s">
        <v>549</v>
      </c>
      <c r="DS3" s="364"/>
      <c r="DT3" s="363" t="s">
        <v>547</v>
      </c>
      <c r="DU3" s="363" t="s">
        <v>437</v>
      </c>
      <c r="DV3" s="364"/>
      <c r="DW3" s="363" t="s">
        <v>533</v>
      </c>
      <c r="DX3" s="363" t="s">
        <v>279</v>
      </c>
      <c r="DY3" s="364"/>
      <c r="DZ3" s="363">
        <v>2018</v>
      </c>
      <c r="EA3" s="363">
        <v>2017</v>
      </c>
      <c r="EB3" s="364"/>
      <c r="EC3" s="363" t="s">
        <v>515</v>
      </c>
      <c r="ED3" s="363" t="s">
        <v>439</v>
      </c>
      <c r="EE3" s="364"/>
      <c r="EF3" s="363" t="s">
        <v>498</v>
      </c>
      <c r="EG3" s="363" t="s">
        <v>327</v>
      </c>
      <c r="EH3" s="364"/>
      <c r="EI3" s="363" t="s">
        <v>499</v>
      </c>
      <c r="EJ3" s="363" t="s">
        <v>283</v>
      </c>
      <c r="EK3" s="364"/>
      <c r="EL3" s="363" t="s">
        <v>436</v>
      </c>
      <c r="EM3" s="363" t="s">
        <v>298</v>
      </c>
      <c r="EN3" s="364"/>
      <c r="EO3" s="363" t="s">
        <v>437</v>
      </c>
      <c r="EP3" s="363" t="s">
        <v>285</v>
      </c>
      <c r="EQ3" s="364"/>
      <c r="ER3" s="363" t="s">
        <v>279</v>
      </c>
      <c r="ES3" s="363" t="s">
        <v>280</v>
      </c>
      <c r="ET3" s="364"/>
      <c r="EU3" s="363">
        <v>2017</v>
      </c>
      <c r="EV3" s="363">
        <v>2016</v>
      </c>
      <c r="EW3" s="364"/>
      <c r="EX3" s="363" t="s">
        <v>281</v>
      </c>
      <c r="EY3" s="363" t="s">
        <v>282</v>
      </c>
      <c r="EZ3" s="364"/>
      <c r="FA3" s="363" t="s">
        <v>327</v>
      </c>
      <c r="FB3" s="363" t="s">
        <v>302</v>
      </c>
      <c r="FC3" s="364"/>
      <c r="FD3" s="363" t="s">
        <v>283</v>
      </c>
      <c r="FE3" s="363" t="s">
        <v>284</v>
      </c>
      <c r="FF3" s="364"/>
      <c r="FG3" s="363" t="s">
        <v>298</v>
      </c>
      <c r="FH3" s="363" t="s">
        <v>299</v>
      </c>
      <c r="FI3" s="158"/>
      <c r="FJ3" s="151" t="s">
        <v>285</v>
      </c>
      <c r="FK3" s="151" t="s">
        <v>286</v>
      </c>
      <c r="FL3" s="158"/>
      <c r="FM3" s="151" t="s">
        <v>280</v>
      </c>
      <c r="FN3" s="151" t="s">
        <v>287</v>
      </c>
      <c r="FO3" s="158"/>
      <c r="FP3" s="151">
        <v>2016</v>
      </c>
      <c r="FQ3" s="151">
        <v>2015</v>
      </c>
      <c r="FR3" s="157"/>
      <c r="FS3" s="151" t="s">
        <v>324</v>
      </c>
      <c r="FT3" s="151" t="s">
        <v>325</v>
      </c>
      <c r="FU3" s="158"/>
      <c r="FV3" s="151" t="s">
        <v>302</v>
      </c>
      <c r="FW3" s="151" t="s">
        <v>303</v>
      </c>
      <c r="FX3" s="157"/>
      <c r="FY3" s="151" t="s">
        <v>304</v>
      </c>
      <c r="FZ3" s="151" t="s">
        <v>497</v>
      </c>
      <c r="GA3" s="158"/>
      <c r="GB3" s="152" t="s">
        <v>306</v>
      </c>
      <c r="GC3" s="151" t="s">
        <v>307</v>
      </c>
      <c r="GD3" s="158"/>
      <c r="GE3" s="152" t="s">
        <v>308</v>
      </c>
      <c r="GF3" s="151" t="s">
        <v>309</v>
      </c>
      <c r="GG3" s="158"/>
      <c r="GH3" s="152" t="s">
        <v>310</v>
      </c>
      <c r="GI3" s="151" t="s">
        <v>311</v>
      </c>
      <c r="GJ3" s="158"/>
      <c r="GK3" s="152">
        <v>2015</v>
      </c>
      <c r="GL3" s="151">
        <v>2014</v>
      </c>
      <c r="GM3" s="158"/>
      <c r="GN3" s="152" t="s">
        <v>301</v>
      </c>
      <c r="GO3" s="151" t="s">
        <v>290</v>
      </c>
      <c r="GP3" s="158"/>
      <c r="GQ3" s="151" t="s">
        <v>303</v>
      </c>
      <c r="GR3" s="151" t="s">
        <v>312</v>
      </c>
      <c r="GS3" s="157"/>
      <c r="GT3" s="151" t="s">
        <v>313</v>
      </c>
      <c r="GU3" s="151" t="s">
        <v>314</v>
      </c>
      <c r="GV3" s="157"/>
      <c r="GW3" s="151" t="s">
        <v>315</v>
      </c>
      <c r="GX3" s="151" t="s">
        <v>288</v>
      </c>
      <c r="GY3" s="157"/>
      <c r="GZ3" s="151" t="s">
        <v>316</v>
      </c>
      <c r="HA3" s="151" t="s">
        <v>294</v>
      </c>
      <c r="HB3" s="157"/>
      <c r="HC3" s="151" t="s">
        <v>317</v>
      </c>
      <c r="HD3" s="151" t="s">
        <v>318</v>
      </c>
      <c r="HE3" s="157"/>
      <c r="HF3" s="159" t="s">
        <v>372</v>
      </c>
      <c r="HG3" s="160">
        <v>2014</v>
      </c>
      <c r="HH3" s="160">
        <v>2013</v>
      </c>
      <c r="HI3" s="157"/>
      <c r="HJ3" s="160" t="s">
        <v>312</v>
      </c>
      <c r="HK3" s="160" t="s">
        <v>319</v>
      </c>
      <c r="HL3" s="157"/>
      <c r="HM3" s="160" t="s">
        <v>288</v>
      </c>
      <c r="HN3" s="160" t="s">
        <v>289</v>
      </c>
      <c r="HO3" s="157"/>
      <c r="HP3" s="160">
        <v>2013</v>
      </c>
      <c r="HQ3" s="160">
        <v>2012</v>
      </c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</row>
    <row r="4" spans="1:307">
      <c r="A4" s="65" t="s">
        <v>81</v>
      </c>
      <c r="B4" s="66"/>
      <c r="C4" s="661"/>
      <c r="D4" s="662"/>
      <c r="E4" s="663"/>
      <c r="F4" s="661"/>
      <c r="G4" s="662"/>
      <c r="H4" s="663"/>
      <c r="I4" s="661"/>
      <c r="J4" s="662"/>
      <c r="K4" s="663"/>
      <c r="L4" s="661"/>
      <c r="M4" s="662"/>
      <c r="N4" s="663"/>
      <c r="O4" s="661"/>
      <c r="P4" s="662"/>
      <c r="Q4" s="66"/>
      <c r="R4" s="661"/>
      <c r="S4" s="662"/>
      <c r="T4" s="663"/>
      <c r="U4" s="661"/>
      <c r="V4" s="662"/>
      <c r="W4" s="663"/>
      <c r="X4" s="661"/>
      <c r="Y4" s="662"/>
      <c r="Z4" s="663"/>
      <c r="AA4" s="661"/>
      <c r="AB4" s="662"/>
      <c r="AC4" s="663"/>
      <c r="AD4" s="661"/>
      <c r="AE4" s="662"/>
      <c r="AF4" s="663"/>
      <c r="AG4" s="622"/>
      <c r="AH4" s="623"/>
      <c r="AI4" s="624"/>
      <c r="AJ4" s="622"/>
      <c r="AK4" s="623"/>
      <c r="AL4" s="624"/>
      <c r="AM4" s="622"/>
      <c r="AN4" s="623"/>
      <c r="AO4" s="624"/>
      <c r="AP4" s="622"/>
      <c r="AQ4" s="623"/>
      <c r="AR4" s="624"/>
      <c r="AS4" s="622"/>
      <c r="AT4" s="623"/>
      <c r="AU4" s="624"/>
      <c r="AV4" s="622"/>
      <c r="AW4" s="623"/>
      <c r="AX4" s="624"/>
      <c r="AY4" s="370">
        <v>144000</v>
      </c>
      <c r="AZ4" s="143">
        <v>71000</v>
      </c>
      <c r="BA4" s="66"/>
      <c r="BB4" s="370">
        <v>311000</v>
      </c>
      <c r="BC4" s="143">
        <v>193000</v>
      </c>
      <c r="BD4" s="66"/>
      <c r="BE4" s="370">
        <f t="shared" ref="BE4:BF10" si="0">BH4-BK4</f>
        <v>98000</v>
      </c>
      <c r="BF4" s="143">
        <f t="shared" si="0"/>
        <v>55000</v>
      </c>
      <c r="BG4" s="66"/>
      <c r="BH4" s="370">
        <v>167000</v>
      </c>
      <c r="BI4" s="143">
        <v>122000</v>
      </c>
      <c r="BJ4" s="66"/>
      <c r="BK4" s="370">
        <v>69000</v>
      </c>
      <c r="BL4" s="143">
        <v>67000</v>
      </c>
      <c r="BM4" s="163"/>
      <c r="BN4" s="370">
        <f t="shared" ref="BN4:BN10" si="1">BQ4-BW4</f>
        <v>83385</v>
      </c>
      <c r="BO4" s="143">
        <f t="shared" ref="BO4:BO10" si="2">BR4-BX4</f>
        <v>118200</v>
      </c>
      <c r="BP4" s="163"/>
      <c r="BQ4" s="370">
        <v>276000</v>
      </c>
      <c r="BR4" s="143">
        <v>345000</v>
      </c>
      <c r="BS4" s="163"/>
      <c r="BT4" s="370">
        <f t="shared" ref="BT4:BU10" si="3">BW4-CC4</f>
        <v>70897</v>
      </c>
      <c r="BU4" s="143">
        <f t="shared" si="3"/>
        <v>108716</v>
      </c>
      <c r="BV4" s="163"/>
      <c r="BW4" s="370">
        <v>192615</v>
      </c>
      <c r="BX4" s="143">
        <v>226800</v>
      </c>
      <c r="BY4" s="163"/>
      <c r="BZ4" s="370">
        <f t="shared" ref="BZ4:CA10" si="4">CC4-CF4</f>
        <v>54408</v>
      </c>
      <c r="CA4" s="143">
        <f t="shared" si="4"/>
        <v>62803</v>
      </c>
      <c r="CB4" s="163"/>
      <c r="CC4" s="370">
        <v>121718</v>
      </c>
      <c r="CD4" s="143">
        <v>118084</v>
      </c>
      <c r="CE4" s="163"/>
      <c r="CF4" s="370">
        <v>67310</v>
      </c>
      <c r="CG4" s="143">
        <v>55281</v>
      </c>
      <c r="CH4" s="163"/>
      <c r="CI4" s="370">
        <f t="shared" ref="CI4:CI11" si="5">CL4-CR4</f>
        <v>118257</v>
      </c>
      <c r="CJ4" s="143">
        <f t="shared" ref="CJ4:CJ11" si="6">CM4-CS4</f>
        <v>110457</v>
      </c>
      <c r="CK4" s="163"/>
      <c r="CL4" s="370">
        <v>345057</v>
      </c>
      <c r="CM4" s="370">
        <v>479519</v>
      </c>
      <c r="CN4" s="163"/>
      <c r="CO4" s="370">
        <f t="shared" ref="CO4:CP11" si="7">CR4-CX4</f>
        <v>108716</v>
      </c>
      <c r="CP4" s="143">
        <f t="shared" si="7"/>
        <v>132332</v>
      </c>
      <c r="CQ4" s="163"/>
      <c r="CR4" s="370">
        <v>226800</v>
      </c>
      <c r="CS4" s="370">
        <v>369062</v>
      </c>
      <c r="CT4" s="163"/>
      <c r="CU4" s="370">
        <f t="shared" ref="CU4:CU11" si="8">CX4-DA4</f>
        <v>62803</v>
      </c>
      <c r="CV4" s="143">
        <f t="shared" ref="CV4:CV11" si="9">CY4-DB4</f>
        <v>117872</v>
      </c>
      <c r="CW4" s="163"/>
      <c r="CX4" s="370">
        <v>118084</v>
      </c>
      <c r="CY4" s="143">
        <v>236730</v>
      </c>
      <c r="CZ4" s="163"/>
      <c r="DA4" s="370">
        <v>55281</v>
      </c>
      <c r="DB4" s="143">
        <v>118858</v>
      </c>
      <c r="DC4" s="163"/>
      <c r="DD4" s="365">
        <v>479519</v>
      </c>
      <c r="DE4" s="143">
        <v>412028</v>
      </c>
      <c r="DF4" s="366"/>
      <c r="DG4" s="365">
        <v>110457</v>
      </c>
      <c r="DH4" s="143">
        <v>131915</v>
      </c>
      <c r="DI4" s="366"/>
      <c r="DJ4" s="365">
        <v>369062</v>
      </c>
      <c r="DK4" s="143">
        <v>280113</v>
      </c>
      <c r="DL4" s="366"/>
      <c r="DM4" s="365">
        <v>132332</v>
      </c>
      <c r="DN4" s="143">
        <v>109103</v>
      </c>
      <c r="DO4" s="366"/>
      <c r="DP4" s="366"/>
      <c r="DQ4" s="365">
        <v>236730</v>
      </c>
      <c r="DR4" s="143">
        <v>171010</v>
      </c>
      <c r="DS4" s="366"/>
      <c r="DT4" s="365">
        <v>117872</v>
      </c>
      <c r="DU4" s="143">
        <v>93845</v>
      </c>
      <c r="DV4" s="366"/>
      <c r="DW4" s="365">
        <v>118858</v>
      </c>
      <c r="DX4" s="143">
        <v>77165</v>
      </c>
      <c r="DY4" s="366"/>
      <c r="DZ4" s="365">
        <v>247493</v>
      </c>
      <c r="EA4" s="143">
        <v>165978</v>
      </c>
      <c r="EB4" s="366"/>
      <c r="EC4" s="365">
        <f t="shared" ref="EC4:ED10" si="10">DZ4-EF4</f>
        <v>86872</v>
      </c>
      <c r="ED4" s="143">
        <f t="shared" si="10"/>
        <v>77191</v>
      </c>
      <c r="EE4" s="366"/>
      <c r="EF4" s="365">
        <v>160621</v>
      </c>
      <c r="EG4" s="143">
        <v>88787</v>
      </c>
      <c r="EH4" s="366"/>
      <c r="EI4" s="365">
        <v>69780</v>
      </c>
      <c r="EJ4" s="143">
        <v>32915</v>
      </c>
      <c r="EK4" s="366"/>
      <c r="EL4" s="365">
        <v>90841</v>
      </c>
      <c r="EM4" s="143">
        <v>55872</v>
      </c>
      <c r="EN4" s="366"/>
      <c r="EO4" s="365">
        <v>51459</v>
      </c>
      <c r="EP4" s="143">
        <v>26651</v>
      </c>
      <c r="EQ4" s="366"/>
      <c r="ER4" s="365">
        <v>39382</v>
      </c>
      <c r="ES4" s="143">
        <v>29221</v>
      </c>
      <c r="ET4" s="366"/>
      <c r="EU4" s="365">
        <v>165978</v>
      </c>
      <c r="EV4" s="143">
        <v>283169</v>
      </c>
      <c r="EW4" s="366"/>
      <c r="EX4" s="365">
        <v>77191</v>
      </c>
      <c r="EY4" s="143">
        <v>150825</v>
      </c>
      <c r="EZ4" s="366"/>
      <c r="FA4" s="365">
        <v>88787</v>
      </c>
      <c r="FB4" s="143">
        <v>132344</v>
      </c>
      <c r="FC4" s="366"/>
      <c r="FD4" s="365">
        <v>32915</v>
      </c>
      <c r="FE4" s="143">
        <v>41690</v>
      </c>
      <c r="FF4" s="366"/>
      <c r="FG4" s="365">
        <v>55872</v>
      </c>
      <c r="FH4" s="143">
        <v>90654</v>
      </c>
      <c r="FI4" s="163"/>
      <c r="FJ4" s="161">
        <v>26651</v>
      </c>
      <c r="FK4" s="162">
        <v>27237</v>
      </c>
      <c r="FL4" s="163"/>
      <c r="FM4" s="161">
        <v>29221</v>
      </c>
      <c r="FN4" s="162">
        <v>63417</v>
      </c>
      <c r="FO4" s="163"/>
      <c r="FP4" s="161">
        <v>283169</v>
      </c>
      <c r="FQ4" s="162">
        <v>211458</v>
      </c>
      <c r="FR4" s="163"/>
      <c r="FS4" s="161">
        <v>150825</v>
      </c>
      <c r="FT4" s="162">
        <v>33912</v>
      </c>
      <c r="FU4" s="163"/>
      <c r="FV4" s="161">
        <v>132344</v>
      </c>
      <c r="FW4" s="162">
        <v>177546</v>
      </c>
      <c r="FX4" s="163"/>
      <c r="FY4" s="161">
        <v>41690</v>
      </c>
      <c r="FZ4" s="162">
        <v>31301</v>
      </c>
      <c r="GA4" s="163"/>
      <c r="GB4" s="161">
        <v>90654</v>
      </c>
      <c r="GC4" s="162">
        <v>146245</v>
      </c>
      <c r="GD4" s="163"/>
      <c r="GE4" s="161">
        <v>27237</v>
      </c>
      <c r="GF4" s="162">
        <v>86032</v>
      </c>
      <c r="GG4" s="163"/>
      <c r="GH4" s="161">
        <v>63417</v>
      </c>
      <c r="GI4" s="162">
        <v>60213</v>
      </c>
      <c r="GJ4" s="163"/>
      <c r="GK4" s="161">
        <v>211458</v>
      </c>
      <c r="GL4" s="162">
        <v>188897</v>
      </c>
      <c r="GM4" s="163"/>
      <c r="GN4" s="161">
        <v>33912</v>
      </c>
      <c r="GO4" s="162">
        <v>63753</v>
      </c>
      <c r="GP4" s="163"/>
      <c r="GQ4" s="162">
        <v>177546</v>
      </c>
      <c r="GR4" s="162">
        <v>125144</v>
      </c>
      <c r="GS4" s="157"/>
      <c r="GT4" s="162">
        <v>31301</v>
      </c>
      <c r="GU4" s="162">
        <v>42876</v>
      </c>
      <c r="GV4" s="157"/>
      <c r="GW4" s="162">
        <v>146245</v>
      </c>
      <c r="GX4" s="162">
        <v>82268</v>
      </c>
      <c r="GY4" s="157"/>
      <c r="GZ4" s="162">
        <v>86032</v>
      </c>
      <c r="HA4" s="162">
        <v>38079</v>
      </c>
      <c r="HB4" s="157"/>
      <c r="HC4" s="162">
        <v>60213</v>
      </c>
      <c r="HD4" s="162">
        <v>44189</v>
      </c>
      <c r="HE4" s="157"/>
      <c r="HF4" s="164" t="s">
        <v>20</v>
      </c>
      <c r="HG4" s="162">
        <v>188897</v>
      </c>
      <c r="HH4" s="162">
        <v>256524</v>
      </c>
      <c r="HI4" s="157"/>
      <c r="HJ4" s="162">
        <v>125144</v>
      </c>
      <c r="HK4" s="162">
        <v>173182</v>
      </c>
      <c r="HL4" s="157"/>
      <c r="HM4" s="162">
        <v>82268</v>
      </c>
      <c r="HN4" s="162">
        <v>115854</v>
      </c>
      <c r="HO4" s="157"/>
      <c r="HP4" s="165">
        <v>256524</v>
      </c>
      <c r="HQ4" s="165">
        <v>167268</v>
      </c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</row>
    <row r="5" spans="1:307" ht="25.5">
      <c r="A5" s="471" t="s">
        <v>582</v>
      </c>
      <c r="B5" s="66"/>
      <c r="C5" s="664">
        <f>('[3]segmenty prez'!$B$35)*1000</f>
        <v>23000</v>
      </c>
      <c r="D5" s="664">
        <f>('[3]segmenty prez'!$B$71)*1000</f>
        <v>25000</v>
      </c>
      <c r="E5" s="663"/>
      <c r="F5" s="664">
        <f>[4]segmenty!$B$37*1000</f>
        <v>114000</v>
      </c>
      <c r="G5" s="664">
        <f>[4]segmenty!$B$75*1000</f>
        <v>301000</v>
      </c>
      <c r="H5" s="663"/>
      <c r="I5" s="664">
        <f>F5-L5</f>
        <v>44000</v>
      </c>
      <c r="J5" s="664">
        <f>G5-M5</f>
        <v>84000</v>
      </c>
      <c r="K5" s="663"/>
      <c r="L5" s="664">
        <f>('[5]segmenty prez'!$B$35)*1000</f>
        <v>70000</v>
      </c>
      <c r="M5" s="664">
        <f>('[5]segmenty prez'!$B$71)*1000</f>
        <v>217000</v>
      </c>
      <c r="N5" s="663"/>
      <c r="O5" s="664">
        <f>('[5]segmenty 3 m-ce PREZ'!$B$25)*1000</f>
        <v>30000</v>
      </c>
      <c r="P5" s="664">
        <f>('[5]segmenty 3 m-ce PREZ'!$B$54)*1000</f>
        <v>99000</v>
      </c>
      <c r="Q5" s="66"/>
      <c r="R5" s="664">
        <v>40000</v>
      </c>
      <c r="S5" s="664">
        <v>118000</v>
      </c>
      <c r="T5" s="663"/>
      <c r="U5" s="664">
        <v>15000</v>
      </c>
      <c r="V5" s="664">
        <v>80000</v>
      </c>
      <c r="W5" s="663"/>
      <c r="X5" s="664">
        <f>[6]segmenty!$B$37*1000</f>
        <v>46000</v>
      </c>
      <c r="Y5" s="664">
        <f>[6]segmenty!$B$75*1000</f>
        <v>74000</v>
      </c>
      <c r="Z5" s="663"/>
      <c r="AA5" s="664">
        <f>([7]segmenty!$B$37)*1000</f>
        <v>568000</v>
      </c>
      <c r="AB5" s="664">
        <f>([7]segmenty!$B$76)*1000</f>
        <v>383000</v>
      </c>
      <c r="AC5" s="663"/>
      <c r="AD5" s="664">
        <f t="shared" ref="AD5:AE10" si="11">AA5-AG5</f>
        <v>186000</v>
      </c>
      <c r="AE5" s="664">
        <f t="shared" si="11"/>
        <v>115000</v>
      </c>
      <c r="AF5" s="663"/>
      <c r="AG5" s="610">
        <f>([8]segmenty!$B$37)*1000</f>
        <v>382000</v>
      </c>
      <c r="AH5" s="610">
        <f>([8]segmenty!$B$76)*1000</f>
        <v>268000</v>
      </c>
      <c r="AI5" s="624"/>
      <c r="AJ5" s="610">
        <f>('[8]segmenty 3 m-ce PREZ'!$B$25)*1000</f>
        <v>187000</v>
      </c>
      <c r="AK5" s="610">
        <f>('[8]segmenty 3 m-ce PREZ'!$B$55)*1000</f>
        <v>151000</v>
      </c>
      <c r="AL5" s="624"/>
      <c r="AM5" s="610">
        <f>[9]segmenty!$B$37*1000</f>
        <v>195000</v>
      </c>
      <c r="AN5" s="610">
        <f>[9]segmenty!$B$75*1000</f>
        <v>117000</v>
      </c>
      <c r="AO5" s="624"/>
      <c r="AP5" s="610">
        <f>('[9]segmenty 3 m-ce PREZ'!$B$25)*1000</f>
        <v>121000</v>
      </c>
      <c r="AQ5" s="610">
        <f>('[9]segmenty 3 m-ce PREZ'!$B$54)*1000</f>
        <v>53000</v>
      </c>
      <c r="AR5" s="624"/>
      <c r="AS5" s="610">
        <f t="shared" ref="AS5:AT10" si="12">AV5-BB5</f>
        <v>115000</v>
      </c>
      <c r="AT5" s="625">
        <f t="shared" si="12"/>
        <v>48000</v>
      </c>
      <c r="AU5" s="624"/>
      <c r="AV5" s="610">
        <v>383000</v>
      </c>
      <c r="AW5" s="610">
        <v>240000</v>
      </c>
      <c r="AX5" s="624"/>
      <c r="AY5" s="467">
        <v>151000</v>
      </c>
      <c r="AZ5" s="473">
        <v>78000</v>
      </c>
      <c r="BA5" s="66"/>
      <c r="BB5" s="467">
        <v>268000</v>
      </c>
      <c r="BC5" s="473">
        <v>192000</v>
      </c>
      <c r="BD5" s="66"/>
      <c r="BE5" s="467">
        <f t="shared" si="0"/>
        <v>53000</v>
      </c>
      <c r="BF5" s="473">
        <f t="shared" si="0"/>
        <v>56000</v>
      </c>
      <c r="BG5" s="66"/>
      <c r="BH5" s="467">
        <v>117000</v>
      </c>
      <c r="BI5" s="473">
        <v>114000</v>
      </c>
      <c r="BJ5" s="66"/>
      <c r="BK5" s="467">
        <v>64000</v>
      </c>
      <c r="BL5" s="473">
        <v>58000</v>
      </c>
      <c r="BM5" s="178"/>
      <c r="BN5" s="467">
        <f t="shared" si="1"/>
        <v>48377</v>
      </c>
      <c r="BO5" s="473">
        <f t="shared" si="2"/>
        <v>414806</v>
      </c>
      <c r="BP5" s="178"/>
      <c r="BQ5" s="467">
        <v>240000</v>
      </c>
      <c r="BR5" s="473">
        <v>1437000</v>
      </c>
      <c r="BS5" s="178"/>
      <c r="BT5" s="467">
        <f t="shared" si="3"/>
        <v>77813</v>
      </c>
      <c r="BU5" s="473">
        <f t="shared" si="3"/>
        <v>328982</v>
      </c>
      <c r="BV5" s="178"/>
      <c r="BW5" s="467">
        <v>191623</v>
      </c>
      <c r="BX5" s="473">
        <v>1022194</v>
      </c>
      <c r="BY5" s="178"/>
      <c r="BZ5" s="467">
        <f t="shared" si="4"/>
        <v>55402</v>
      </c>
      <c r="CA5" s="473">
        <f t="shared" si="4"/>
        <v>331787</v>
      </c>
      <c r="CB5" s="178"/>
      <c r="CC5" s="467">
        <v>113810</v>
      </c>
      <c r="CD5" s="473">
        <v>693212</v>
      </c>
      <c r="CE5" s="178"/>
      <c r="CF5" s="467">
        <v>58408</v>
      </c>
      <c r="CG5" s="473">
        <v>361425</v>
      </c>
      <c r="CH5" s="178"/>
      <c r="CI5" s="467">
        <f t="shared" si="5"/>
        <v>381114</v>
      </c>
      <c r="CJ5" s="473">
        <f t="shared" si="6"/>
        <v>672799</v>
      </c>
      <c r="CK5" s="178"/>
      <c r="CL5" s="467">
        <v>1336489</v>
      </c>
      <c r="CM5" s="467">
        <v>1584702</v>
      </c>
      <c r="CN5" s="178"/>
      <c r="CO5" s="467">
        <f t="shared" si="7"/>
        <v>294603</v>
      </c>
      <c r="CP5" s="473">
        <f t="shared" si="7"/>
        <v>442783</v>
      </c>
      <c r="CQ5" s="178"/>
      <c r="CR5" s="467">
        <v>955375</v>
      </c>
      <c r="CS5" s="467">
        <v>911903</v>
      </c>
      <c r="CT5" s="178"/>
      <c r="CU5" s="467">
        <f t="shared" si="8"/>
        <v>313174</v>
      </c>
      <c r="CV5" s="473">
        <f t="shared" si="9"/>
        <v>245925</v>
      </c>
      <c r="CW5" s="178"/>
      <c r="CX5" s="467">
        <v>660772</v>
      </c>
      <c r="CY5" s="473">
        <v>469120</v>
      </c>
      <c r="CZ5" s="178"/>
      <c r="DA5" s="467">
        <v>347598</v>
      </c>
      <c r="DB5" s="473">
        <v>223195</v>
      </c>
      <c r="DC5" s="178"/>
      <c r="DD5" s="341">
        <v>1683070</v>
      </c>
      <c r="DE5" s="144">
        <v>1299817</v>
      </c>
      <c r="DF5" s="366"/>
      <c r="DG5" s="341">
        <v>711141</v>
      </c>
      <c r="DH5" s="144">
        <v>390431</v>
      </c>
      <c r="DI5" s="366"/>
      <c r="DJ5" s="341">
        <v>971929</v>
      </c>
      <c r="DK5" s="144">
        <v>909386</v>
      </c>
      <c r="DL5" s="366"/>
      <c r="DM5" s="341">
        <v>471307</v>
      </c>
      <c r="DN5" s="144">
        <v>339863</v>
      </c>
      <c r="DO5" s="366"/>
      <c r="DP5" s="366"/>
      <c r="DQ5" s="341">
        <v>500622</v>
      </c>
      <c r="DR5" s="144">
        <v>569523</v>
      </c>
      <c r="DS5" s="366"/>
      <c r="DT5" s="341">
        <v>264684</v>
      </c>
      <c r="DU5" s="144">
        <v>326612</v>
      </c>
      <c r="DV5" s="366"/>
      <c r="DW5" s="341">
        <v>235938</v>
      </c>
      <c r="DX5" s="144">
        <v>242911</v>
      </c>
      <c r="DY5" s="366"/>
      <c r="DZ5" s="341">
        <v>1299817</v>
      </c>
      <c r="EA5" s="144">
        <v>1516492</v>
      </c>
      <c r="EB5" s="366"/>
      <c r="EC5" s="341">
        <f t="shared" si="10"/>
        <v>390431</v>
      </c>
      <c r="ED5" s="144">
        <f t="shared" si="10"/>
        <v>393676</v>
      </c>
      <c r="EE5" s="366"/>
      <c r="EF5" s="341">
        <v>909386</v>
      </c>
      <c r="EG5" s="144">
        <v>1122816</v>
      </c>
      <c r="EH5" s="366"/>
      <c r="EI5" s="341">
        <v>339863</v>
      </c>
      <c r="EJ5" s="144">
        <v>308899</v>
      </c>
      <c r="EK5" s="366"/>
      <c r="EL5" s="341">
        <v>569523</v>
      </c>
      <c r="EM5" s="144">
        <v>813917</v>
      </c>
      <c r="EN5" s="366"/>
      <c r="EO5" s="341">
        <v>326612</v>
      </c>
      <c r="EP5" s="144">
        <v>479224</v>
      </c>
      <c r="EQ5" s="366"/>
      <c r="ER5" s="341">
        <v>242911</v>
      </c>
      <c r="ES5" s="144">
        <v>334693</v>
      </c>
      <c r="ET5" s="366"/>
      <c r="EU5" s="341">
        <v>1516492</v>
      </c>
      <c r="EV5" s="144">
        <v>1661215</v>
      </c>
      <c r="EW5" s="366"/>
      <c r="EX5" s="341">
        <v>393676</v>
      </c>
      <c r="EY5" s="144">
        <v>550921</v>
      </c>
      <c r="EZ5" s="366"/>
      <c r="FA5" s="341">
        <v>1122816</v>
      </c>
      <c r="FB5" s="144">
        <v>1110294</v>
      </c>
      <c r="FC5" s="366"/>
      <c r="FD5" s="341">
        <v>308899</v>
      </c>
      <c r="FE5" s="144">
        <v>510474</v>
      </c>
      <c r="FF5" s="366"/>
      <c r="FG5" s="341">
        <v>813917</v>
      </c>
      <c r="FH5" s="144">
        <v>599820</v>
      </c>
      <c r="FI5" s="163"/>
      <c r="FJ5" s="166">
        <v>479224</v>
      </c>
      <c r="FK5" s="156">
        <v>343886</v>
      </c>
      <c r="FL5" s="163"/>
      <c r="FM5" s="166">
        <v>334693</v>
      </c>
      <c r="FN5" s="156">
        <v>255934</v>
      </c>
      <c r="FO5" s="163"/>
      <c r="FP5" s="166">
        <v>1661215</v>
      </c>
      <c r="FQ5" s="156">
        <v>1934229</v>
      </c>
      <c r="FR5" s="163"/>
      <c r="FS5" s="166">
        <v>550921</v>
      </c>
      <c r="FT5" s="156">
        <v>525579</v>
      </c>
      <c r="FU5" s="163"/>
      <c r="FV5" s="166">
        <v>1110294</v>
      </c>
      <c r="FW5" s="156">
        <v>1408650</v>
      </c>
      <c r="FX5" s="163"/>
      <c r="FY5" s="166">
        <v>510474</v>
      </c>
      <c r="FZ5" s="156">
        <v>523081</v>
      </c>
      <c r="GA5" s="163"/>
      <c r="GB5" s="166">
        <v>599820</v>
      </c>
      <c r="GC5" s="156">
        <v>885569</v>
      </c>
      <c r="GD5" s="163"/>
      <c r="GE5" s="166">
        <v>343886</v>
      </c>
      <c r="GF5" s="156">
        <v>462379</v>
      </c>
      <c r="GG5" s="163"/>
      <c r="GH5" s="166">
        <v>255934</v>
      </c>
      <c r="GI5" s="156">
        <v>423190</v>
      </c>
      <c r="GJ5" s="163"/>
      <c r="GK5" s="166">
        <v>1934229</v>
      </c>
      <c r="GL5" s="156">
        <v>855029</v>
      </c>
      <c r="GM5" s="163"/>
      <c r="GN5" s="166">
        <v>525579</v>
      </c>
      <c r="GO5" s="156">
        <v>314945</v>
      </c>
      <c r="GP5" s="163"/>
      <c r="GQ5" s="156">
        <v>1408650</v>
      </c>
      <c r="GR5" s="156">
        <v>540084</v>
      </c>
      <c r="GS5" s="157"/>
      <c r="GT5" s="156">
        <v>523081</v>
      </c>
      <c r="GU5" s="156">
        <v>257781</v>
      </c>
      <c r="GV5" s="157"/>
      <c r="GW5" s="156">
        <v>885569</v>
      </c>
      <c r="GX5" s="156">
        <v>282303</v>
      </c>
      <c r="GY5" s="157"/>
      <c r="GZ5" s="156">
        <v>462379</v>
      </c>
      <c r="HA5" s="156">
        <v>155138</v>
      </c>
      <c r="HB5" s="157"/>
      <c r="HC5" s="156">
        <v>423190</v>
      </c>
      <c r="HD5" s="156">
        <v>127165</v>
      </c>
      <c r="HE5" s="157"/>
      <c r="HF5" s="163" t="s">
        <v>21</v>
      </c>
      <c r="HG5" s="156">
        <v>403503</v>
      </c>
      <c r="HH5" s="156">
        <v>520926</v>
      </c>
      <c r="HI5" s="157"/>
      <c r="HJ5" s="156">
        <v>234821</v>
      </c>
      <c r="HK5" s="156">
        <v>402703</v>
      </c>
      <c r="HL5" s="157"/>
      <c r="HM5" s="156">
        <v>126211</v>
      </c>
      <c r="HN5" s="156">
        <v>274748</v>
      </c>
      <c r="HO5" s="157"/>
      <c r="HP5" s="167">
        <v>520926</v>
      </c>
      <c r="HQ5" s="167">
        <v>857153</v>
      </c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  <c r="IW5" s="157"/>
      <c r="IX5" s="157"/>
      <c r="IY5" s="157"/>
      <c r="IZ5" s="157"/>
      <c r="JA5" s="157"/>
      <c r="JB5" s="157"/>
      <c r="JC5" s="157"/>
      <c r="JD5" s="157"/>
      <c r="JE5" s="157"/>
      <c r="JF5" s="157"/>
      <c r="JG5" s="157"/>
      <c r="JH5" s="157"/>
      <c r="JI5" s="157"/>
      <c r="JJ5" s="157"/>
      <c r="JK5" s="157"/>
      <c r="JL5" s="157"/>
      <c r="JM5" s="157"/>
      <c r="JN5" s="157"/>
      <c r="JO5" s="157"/>
      <c r="JP5" s="157"/>
      <c r="JQ5" s="157"/>
      <c r="JR5" s="157"/>
      <c r="JS5" s="157"/>
      <c r="JT5" s="157"/>
      <c r="JU5" s="157"/>
      <c r="JV5" s="157"/>
      <c r="JW5" s="157"/>
      <c r="JX5" s="157"/>
      <c r="JY5" s="157"/>
      <c r="JZ5" s="157"/>
      <c r="KA5" s="157"/>
      <c r="KB5" s="157"/>
      <c r="KC5" s="157"/>
      <c r="KD5" s="157"/>
      <c r="KE5" s="157"/>
      <c r="KF5" s="157"/>
      <c r="KG5" s="157"/>
      <c r="KH5" s="157"/>
      <c r="KI5" s="157"/>
      <c r="KJ5" s="157"/>
      <c r="KK5" s="157"/>
      <c r="KL5" s="157"/>
      <c r="KM5" s="157"/>
      <c r="KN5" s="157"/>
      <c r="KO5" s="157"/>
      <c r="KP5" s="157"/>
      <c r="KQ5" s="157"/>
      <c r="KR5" s="157"/>
      <c r="KS5" s="157"/>
      <c r="KT5" s="157"/>
      <c r="KU5" s="157"/>
    </row>
    <row r="6" spans="1:307">
      <c r="A6" s="471" t="s">
        <v>25</v>
      </c>
      <c r="B6" s="66"/>
      <c r="C6" s="664">
        <f>('[3]segmenty prez'!$C$35)*1000</f>
        <v>23000</v>
      </c>
      <c r="D6" s="664">
        <f>('[3]segmenty prez'!$C$71)*1000</f>
        <v>20000</v>
      </c>
      <c r="E6" s="663"/>
      <c r="F6" s="664">
        <f>[4]segmenty!$C$37*1000</f>
        <v>135000</v>
      </c>
      <c r="G6" s="664">
        <f>[4]segmenty!$C$75*1000</f>
        <v>273000</v>
      </c>
      <c r="H6" s="663"/>
      <c r="I6" s="664">
        <f t="shared" ref="I6:I10" si="13">F6-L6</f>
        <v>43000</v>
      </c>
      <c r="J6" s="664">
        <f t="shared" ref="J6:J10" si="14">G6-M6</f>
        <v>107000</v>
      </c>
      <c r="K6" s="663"/>
      <c r="L6" s="664">
        <f>('[5]segmenty prez'!$C$35)*1000</f>
        <v>92000</v>
      </c>
      <c r="M6" s="664">
        <f>('[5]segmenty prez'!$C$71)*1000</f>
        <v>166000</v>
      </c>
      <c r="N6" s="663"/>
      <c r="O6" s="664">
        <f>('[5]segmenty 3 m-ce PREZ'!$C$25)*1000</f>
        <v>39000</v>
      </c>
      <c r="P6" s="664">
        <f>('[5]segmenty 3 m-ce PREZ'!$C$54)*1000</f>
        <v>89000</v>
      </c>
      <c r="Q6" s="66"/>
      <c r="R6" s="664">
        <v>53000</v>
      </c>
      <c r="S6" s="664">
        <v>77000</v>
      </c>
      <c r="T6" s="663"/>
      <c r="U6" s="664">
        <v>33000</v>
      </c>
      <c r="V6" s="664">
        <v>40000</v>
      </c>
      <c r="W6" s="663"/>
      <c r="X6" s="664"/>
      <c r="Y6" s="664"/>
      <c r="Z6" s="663"/>
      <c r="AA6" s="664"/>
      <c r="AB6" s="664"/>
      <c r="AC6" s="663"/>
      <c r="AD6" s="664"/>
      <c r="AE6" s="664"/>
      <c r="AF6" s="663"/>
      <c r="AG6" s="610"/>
      <c r="AH6" s="610"/>
      <c r="AI6" s="624"/>
      <c r="AJ6" s="610"/>
      <c r="AK6" s="610"/>
      <c r="AL6" s="624"/>
      <c r="AM6" s="610"/>
      <c r="AN6" s="610"/>
      <c r="AO6" s="624"/>
      <c r="AP6" s="610"/>
      <c r="AQ6" s="610"/>
      <c r="AR6" s="624"/>
      <c r="AS6" s="610"/>
      <c r="AT6" s="625"/>
      <c r="AU6" s="624"/>
      <c r="AV6" s="610"/>
      <c r="AW6" s="610"/>
      <c r="AX6" s="624"/>
      <c r="AY6" s="467"/>
      <c r="AZ6" s="473"/>
      <c r="BA6" s="66"/>
      <c r="BB6" s="467"/>
      <c r="BC6" s="473"/>
      <c r="BD6" s="66"/>
      <c r="BE6" s="467"/>
      <c r="BF6" s="473"/>
      <c r="BG6" s="66"/>
      <c r="BH6" s="467"/>
      <c r="BI6" s="473"/>
      <c r="BJ6" s="66"/>
      <c r="BK6" s="467"/>
      <c r="BL6" s="473"/>
      <c r="BM6" s="178"/>
      <c r="BN6" s="467"/>
      <c r="BO6" s="473"/>
      <c r="BP6" s="178"/>
      <c r="BQ6" s="467"/>
      <c r="BR6" s="473"/>
      <c r="BS6" s="178"/>
      <c r="BT6" s="467"/>
      <c r="BU6" s="473"/>
      <c r="BV6" s="178"/>
      <c r="BW6" s="467"/>
      <c r="BX6" s="473"/>
      <c r="BY6" s="178"/>
      <c r="BZ6" s="467"/>
      <c r="CA6" s="473"/>
      <c r="CB6" s="178"/>
      <c r="CC6" s="467"/>
      <c r="CD6" s="473"/>
      <c r="CE6" s="178"/>
      <c r="CF6" s="467"/>
      <c r="CG6" s="473"/>
      <c r="CH6" s="178"/>
      <c r="CI6" s="467"/>
      <c r="CJ6" s="473"/>
      <c r="CK6" s="178"/>
      <c r="CL6" s="467"/>
      <c r="CM6" s="467"/>
      <c r="CN6" s="178"/>
      <c r="CO6" s="467"/>
      <c r="CP6" s="473"/>
      <c r="CQ6" s="178"/>
      <c r="CR6" s="467"/>
      <c r="CS6" s="467"/>
      <c r="CT6" s="178"/>
      <c r="CU6" s="467"/>
      <c r="CV6" s="473"/>
      <c r="CW6" s="178"/>
      <c r="CX6" s="467"/>
      <c r="CY6" s="473"/>
      <c r="CZ6" s="178"/>
      <c r="DA6" s="467"/>
      <c r="DB6" s="473"/>
      <c r="DC6" s="178"/>
      <c r="DD6" s="341"/>
      <c r="DE6" s="144"/>
      <c r="DF6" s="366"/>
      <c r="DG6" s="341"/>
      <c r="DH6" s="144"/>
      <c r="DI6" s="366"/>
      <c r="DJ6" s="341"/>
      <c r="DK6" s="144"/>
      <c r="DL6" s="366"/>
      <c r="DM6" s="341"/>
      <c r="DN6" s="144"/>
      <c r="DO6" s="366"/>
      <c r="DP6" s="366"/>
      <c r="DQ6" s="341"/>
      <c r="DR6" s="144"/>
      <c r="DS6" s="366"/>
      <c r="DT6" s="341"/>
      <c r="DU6" s="144"/>
      <c r="DV6" s="366"/>
      <c r="DW6" s="341"/>
      <c r="DX6" s="144"/>
      <c r="DY6" s="366"/>
      <c r="DZ6" s="341"/>
      <c r="EA6" s="144"/>
      <c r="EB6" s="366"/>
      <c r="EC6" s="341"/>
      <c r="ED6" s="144"/>
      <c r="EE6" s="366"/>
      <c r="EF6" s="341"/>
      <c r="EG6" s="144"/>
      <c r="EH6" s="366"/>
      <c r="EI6" s="341"/>
      <c r="EJ6" s="144"/>
      <c r="EK6" s="366"/>
      <c r="EL6" s="341"/>
      <c r="EM6" s="144"/>
      <c r="EN6" s="366"/>
      <c r="EO6" s="341"/>
      <c r="EP6" s="144"/>
      <c r="EQ6" s="366"/>
      <c r="ER6" s="341"/>
      <c r="ES6" s="144"/>
      <c r="ET6" s="366"/>
      <c r="EU6" s="341"/>
      <c r="EV6" s="144"/>
      <c r="EW6" s="366"/>
      <c r="EX6" s="341"/>
      <c r="EY6" s="144"/>
      <c r="EZ6" s="366"/>
      <c r="FA6" s="341"/>
      <c r="FB6" s="144"/>
      <c r="FC6" s="366"/>
      <c r="FD6" s="341"/>
      <c r="FE6" s="144"/>
      <c r="FF6" s="366"/>
      <c r="FG6" s="341"/>
      <c r="FH6" s="144"/>
      <c r="FI6" s="163"/>
      <c r="FJ6" s="166"/>
      <c r="FK6" s="156"/>
      <c r="FL6" s="163"/>
      <c r="FM6" s="166"/>
      <c r="FN6" s="156"/>
      <c r="FO6" s="163"/>
      <c r="FP6" s="166"/>
      <c r="FQ6" s="156"/>
      <c r="FR6" s="163"/>
      <c r="FS6" s="166"/>
      <c r="FT6" s="156"/>
      <c r="FU6" s="163"/>
      <c r="FV6" s="166"/>
      <c r="FW6" s="156"/>
      <c r="FX6" s="163"/>
      <c r="FY6" s="166"/>
      <c r="FZ6" s="156"/>
      <c r="GA6" s="163"/>
      <c r="GB6" s="166"/>
      <c r="GC6" s="156"/>
      <c r="GD6" s="163"/>
      <c r="GE6" s="166"/>
      <c r="GF6" s="156"/>
      <c r="GG6" s="163"/>
      <c r="GH6" s="166"/>
      <c r="GI6" s="156"/>
      <c r="GJ6" s="163"/>
      <c r="GK6" s="166"/>
      <c r="GL6" s="156"/>
      <c r="GM6" s="163"/>
      <c r="GN6" s="166"/>
      <c r="GO6" s="156"/>
      <c r="GP6" s="163"/>
      <c r="GQ6" s="156"/>
      <c r="GR6" s="156"/>
      <c r="GS6" s="157"/>
      <c r="GT6" s="156"/>
      <c r="GU6" s="156"/>
      <c r="GV6" s="157"/>
      <c r="GW6" s="156"/>
      <c r="GX6" s="156"/>
      <c r="GY6" s="157"/>
      <c r="GZ6" s="156"/>
      <c r="HA6" s="156"/>
      <c r="HB6" s="157"/>
      <c r="HC6" s="156"/>
      <c r="HD6" s="156"/>
      <c r="HE6" s="157"/>
      <c r="HF6" s="163"/>
      <c r="HG6" s="156"/>
      <c r="HH6" s="156"/>
      <c r="HI6" s="157"/>
      <c r="HJ6" s="156"/>
      <c r="HK6" s="156"/>
      <c r="HL6" s="157"/>
      <c r="HM6" s="156"/>
      <c r="HN6" s="156"/>
      <c r="HO6" s="157"/>
      <c r="HP6" s="167"/>
      <c r="HQ6" s="16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7"/>
      <c r="JW6" s="157"/>
      <c r="JX6" s="157"/>
      <c r="JY6" s="157"/>
      <c r="JZ6" s="157"/>
      <c r="KA6" s="157"/>
      <c r="KB6" s="157"/>
      <c r="KC6" s="157"/>
      <c r="KD6" s="157"/>
      <c r="KE6" s="157"/>
      <c r="KF6" s="157"/>
      <c r="KG6" s="157"/>
      <c r="KH6" s="157"/>
      <c r="KI6" s="157"/>
      <c r="KJ6" s="157"/>
      <c r="KK6" s="157"/>
      <c r="KL6" s="157"/>
      <c r="KM6" s="157"/>
      <c r="KN6" s="157"/>
      <c r="KO6" s="157"/>
      <c r="KP6" s="157"/>
      <c r="KQ6" s="157"/>
      <c r="KR6" s="157"/>
      <c r="KS6" s="157"/>
      <c r="KT6" s="157"/>
      <c r="KU6" s="157"/>
    </row>
    <row r="7" spans="1:307">
      <c r="A7" s="472" t="s">
        <v>581</v>
      </c>
      <c r="B7" s="66"/>
      <c r="C7" s="664">
        <f>('[3]segmenty prez'!$D$35)*1000</f>
        <v>191000</v>
      </c>
      <c r="D7" s="664">
        <f>('[3]segmenty prez'!$D$71)*1000</f>
        <v>99000</v>
      </c>
      <c r="E7" s="663"/>
      <c r="F7" s="664">
        <f>[4]segmenty!$D$37*1000</f>
        <v>1514000</v>
      </c>
      <c r="G7" s="664">
        <f>[4]segmenty!$D$75*1000</f>
        <v>593000</v>
      </c>
      <c r="H7" s="663"/>
      <c r="I7" s="664">
        <f t="shared" si="13"/>
        <v>373000</v>
      </c>
      <c r="J7" s="664">
        <f t="shared" si="14"/>
        <v>197000</v>
      </c>
      <c r="K7" s="663"/>
      <c r="L7" s="664">
        <f>('[5]segmenty prez'!$D$35)*1000</f>
        <v>1141000</v>
      </c>
      <c r="M7" s="664">
        <f>('[5]segmenty prez'!$D$71)*1000</f>
        <v>396000</v>
      </c>
      <c r="N7" s="663"/>
      <c r="O7" s="664">
        <f>('[5]segmenty 3 m-ce PREZ'!$D$25)*1000</f>
        <v>909000</v>
      </c>
      <c r="P7" s="664">
        <f>('[5]segmenty 3 m-ce PREZ'!$D$54)*1000</f>
        <v>86000</v>
      </c>
      <c r="Q7" s="66"/>
      <c r="R7" s="664">
        <v>232000</v>
      </c>
      <c r="S7" s="664">
        <v>310000</v>
      </c>
      <c r="T7" s="663"/>
      <c r="U7" s="664">
        <v>133000</v>
      </c>
      <c r="V7" s="664">
        <v>235000</v>
      </c>
      <c r="W7" s="663"/>
      <c r="X7" s="664">
        <f>[6]segmenty!$C$37*1000</f>
        <v>99000</v>
      </c>
      <c r="Y7" s="664">
        <f>[6]segmenty!$C$75*1000</f>
        <v>75000</v>
      </c>
      <c r="Z7" s="663"/>
      <c r="AA7" s="664">
        <f>([7]segmenty!$C$37)*1000</f>
        <v>593000</v>
      </c>
      <c r="AB7" s="664">
        <f>([7]segmenty!$C$76)*1000</f>
        <v>459000</v>
      </c>
      <c r="AC7" s="663"/>
      <c r="AD7" s="664">
        <f t="shared" si="11"/>
        <v>197000</v>
      </c>
      <c r="AE7" s="664">
        <f t="shared" si="11"/>
        <v>165000</v>
      </c>
      <c r="AF7" s="663"/>
      <c r="AG7" s="610">
        <f>([8]segmenty!$C$37)*1000</f>
        <v>396000</v>
      </c>
      <c r="AH7" s="610">
        <f>([8]segmenty!$C$76)*1000</f>
        <v>294000</v>
      </c>
      <c r="AI7" s="624"/>
      <c r="AJ7" s="610">
        <f>('[8]segmenty 3 m-ce PREZ'!$C$25)*1000</f>
        <v>86000</v>
      </c>
      <c r="AK7" s="610">
        <f>('[8]segmenty 3 m-ce PREZ'!$C$55)*1000</f>
        <v>201000</v>
      </c>
      <c r="AL7" s="624"/>
      <c r="AM7" s="610">
        <f>[9]segmenty!$C$37*1000</f>
        <v>310000</v>
      </c>
      <c r="AN7" s="610">
        <f>[9]segmenty!$C$75*1000</f>
        <v>93000</v>
      </c>
      <c r="AO7" s="624"/>
      <c r="AP7" s="610">
        <f>('[9]segmenty 3 m-ce PREZ'!$C$25)*1000</f>
        <v>235000</v>
      </c>
      <c r="AQ7" s="610">
        <f>('[9]segmenty 3 m-ce PREZ'!$C$54)*1000</f>
        <v>72000</v>
      </c>
      <c r="AR7" s="624"/>
      <c r="AS7" s="610">
        <f t="shared" si="12"/>
        <v>165000</v>
      </c>
      <c r="AT7" s="625">
        <f t="shared" si="12"/>
        <v>41000</v>
      </c>
      <c r="AU7" s="624"/>
      <c r="AV7" s="610">
        <v>459000</v>
      </c>
      <c r="AW7" s="610">
        <v>90000</v>
      </c>
      <c r="AX7" s="624"/>
      <c r="AY7" s="467">
        <v>201000</v>
      </c>
      <c r="AZ7" s="473">
        <v>29000</v>
      </c>
      <c r="BA7" s="66"/>
      <c r="BB7" s="467">
        <v>294000</v>
      </c>
      <c r="BC7" s="473">
        <v>49000</v>
      </c>
      <c r="BD7" s="66"/>
      <c r="BE7" s="467">
        <f t="shared" si="0"/>
        <v>72000</v>
      </c>
      <c r="BF7" s="473">
        <f t="shared" si="0"/>
        <v>15000</v>
      </c>
      <c r="BG7" s="66"/>
      <c r="BH7" s="467">
        <v>93000</v>
      </c>
      <c r="BI7" s="473">
        <v>20000</v>
      </c>
      <c r="BJ7" s="66"/>
      <c r="BK7" s="467">
        <v>21000</v>
      </c>
      <c r="BL7" s="473">
        <v>5000</v>
      </c>
      <c r="BM7" s="178"/>
      <c r="BN7" s="467">
        <f t="shared" si="1"/>
        <v>41417</v>
      </c>
      <c r="BO7" s="473">
        <f t="shared" si="2"/>
        <v>32939</v>
      </c>
      <c r="BP7" s="178"/>
      <c r="BQ7" s="467">
        <v>90000</v>
      </c>
      <c r="BR7" s="473">
        <v>40000</v>
      </c>
      <c r="BS7" s="178"/>
      <c r="BT7" s="467">
        <f t="shared" si="3"/>
        <v>28480</v>
      </c>
      <c r="BU7" s="473">
        <f t="shared" si="3"/>
        <v>1520</v>
      </c>
      <c r="BV7" s="178"/>
      <c r="BW7" s="467">
        <v>48583</v>
      </c>
      <c r="BX7" s="473">
        <v>7061</v>
      </c>
      <c r="BY7" s="178"/>
      <c r="BZ7" s="467">
        <f t="shared" si="4"/>
        <v>15417</v>
      </c>
      <c r="CA7" s="473">
        <f t="shared" si="4"/>
        <v>4370</v>
      </c>
      <c r="CB7" s="178"/>
      <c r="CC7" s="467">
        <v>20103</v>
      </c>
      <c r="CD7" s="473">
        <v>5541</v>
      </c>
      <c r="CE7" s="178"/>
      <c r="CF7" s="467">
        <v>4686</v>
      </c>
      <c r="CG7" s="473">
        <v>1171</v>
      </c>
      <c r="CH7" s="178"/>
      <c r="CI7" s="467">
        <f t="shared" si="5"/>
        <v>32605</v>
      </c>
      <c r="CJ7" s="473">
        <f t="shared" si="6"/>
        <v>6836</v>
      </c>
      <c r="CK7" s="178"/>
      <c r="CL7" s="467">
        <v>39666</v>
      </c>
      <c r="CM7" s="467">
        <v>13885</v>
      </c>
      <c r="CN7" s="178"/>
      <c r="CO7" s="467">
        <f t="shared" si="7"/>
        <v>1520</v>
      </c>
      <c r="CP7" s="473">
        <f t="shared" si="7"/>
        <v>3189</v>
      </c>
      <c r="CQ7" s="178"/>
      <c r="CR7" s="467">
        <v>7061</v>
      </c>
      <c r="CS7" s="467">
        <v>7049</v>
      </c>
      <c r="CT7" s="178"/>
      <c r="CU7" s="467">
        <f t="shared" si="8"/>
        <v>4370</v>
      </c>
      <c r="CV7" s="473">
        <f t="shared" si="9"/>
        <v>2629</v>
      </c>
      <c r="CW7" s="178"/>
      <c r="CX7" s="467">
        <v>5541</v>
      </c>
      <c r="CY7" s="473">
        <v>3860</v>
      </c>
      <c r="CZ7" s="178"/>
      <c r="DA7" s="467">
        <v>1171</v>
      </c>
      <c r="DB7" s="473">
        <v>1231</v>
      </c>
      <c r="DC7" s="178"/>
      <c r="DD7" s="341"/>
      <c r="DE7" s="144"/>
      <c r="DF7" s="366"/>
      <c r="DG7" s="341"/>
      <c r="DH7" s="144"/>
      <c r="DI7" s="366"/>
      <c r="DJ7" s="341"/>
      <c r="DK7" s="144"/>
      <c r="DL7" s="366"/>
      <c r="DM7" s="341"/>
      <c r="DN7" s="144"/>
      <c r="DO7" s="366"/>
      <c r="DP7" s="366"/>
      <c r="DQ7" s="341"/>
      <c r="DR7" s="144"/>
      <c r="DS7" s="366"/>
      <c r="DT7" s="341"/>
      <c r="DU7" s="144"/>
      <c r="DV7" s="366"/>
      <c r="DW7" s="341"/>
      <c r="DX7" s="144"/>
      <c r="DY7" s="366"/>
      <c r="DZ7" s="341"/>
      <c r="EA7" s="144"/>
      <c r="EB7" s="366"/>
      <c r="EC7" s="341"/>
      <c r="ED7" s="144"/>
      <c r="EE7" s="366"/>
      <c r="EF7" s="341"/>
      <c r="EG7" s="144"/>
      <c r="EH7" s="366"/>
      <c r="EI7" s="341"/>
      <c r="EJ7" s="144"/>
      <c r="EK7" s="366"/>
      <c r="EL7" s="341"/>
      <c r="EM7" s="144"/>
      <c r="EN7" s="366"/>
      <c r="EO7" s="341"/>
      <c r="EP7" s="144"/>
      <c r="EQ7" s="366"/>
      <c r="ER7" s="341"/>
      <c r="ES7" s="144"/>
      <c r="ET7" s="366"/>
      <c r="EU7" s="341"/>
      <c r="EV7" s="144"/>
      <c r="EW7" s="366"/>
      <c r="EX7" s="341"/>
      <c r="EY7" s="144"/>
      <c r="EZ7" s="366"/>
      <c r="FA7" s="341"/>
      <c r="FB7" s="144"/>
      <c r="FC7" s="366"/>
      <c r="FD7" s="341"/>
      <c r="FE7" s="144"/>
      <c r="FF7" s="366"/>
      <c r="FG7" s="341"/>
      <c r="FH7" s="144"/>
      <c r="FI7" s="163"/>
      <c r="FJ7" s="166"/>
      <c r="FK7" s="156"/>
      <c r="FL7" s="163"/>
      <c r="FM7" s="166"/>
      <c r="FN7" s="156"/>
      <c r="FO7" s="163"/>
      <c r="FP7" s="166"/>
      <c r="FQ7" s="156"/>
      <c r="FR7" s="163"/>
      <c r="FS7" s="166"/>
      <c r="FT7" s="156"/>
      <c r="FU7" s="163"/>
      <c r="FV7" s="166"/>
      <c r="FW7" s="156"/>
      <c r="FX7" s="163"/>
      <c r="FY7" s="166"/>
      <c r="FZ7" s="156"/>
      <c r="GA7" s="163"/>
      <c r="GB7" s="166"/>
      <c r="GC7" s="156"/>
      <c r="GD7" s="163"/>
      <c r="GE7" s="166"/>
      <c r="GF7" s="156"/>
      <c r="GG7" s="163"/>
      <c r="GH7" s="166"/>
      <c r="GI7" s="156"/>
      <c r="GJ7" s="163"/>
      <c r="GK7" s="166"/>
      <c r="GL7" s="156"/>
      <c r="GM7" s="163"/>
      <c r="GN7" s="166"/>
      <c r="GO7" s="156"/>
      <c r="GP7" s="163"/>
      <c r="GQ7" s="156"/>
      <c r="GR7" s="156"/>
      <c r="GS7" s="157"/>
      <c r="GT7" s="156"/>
      <c r="GU7" s="156"/>
      <c r="GV7" s="157"/>
      <c r="GW7" s="156"/>
      <c r="GX7" s="156"/>
      <c r="GY7" s="157"/>
      <c r="GZ7" s="156"/>
      <c r="HA7" s="156"/>
      <c r="HB7" s="157"/>
      <c r="HC7" s="156"/>
      <c r="HD7" s="156"/>
      <c r="HE7" s="157"/>
      <c r="HF7" s="163"/>
      <c r="HG7" s="156"/>
      <c r="HH7" s="156"/>
      <c r="HI7" s="157"/>
      <c r="HJ7" s="156"/>
      <c r="HK7" s="156"/>
      <c r="HL7" s="157"/>
      <c r="HM7" s="156"/>
      <c r="HN7" s="156"/>
      <c r="HO7" s="157"/>
      <c r="HP7" s="167"/>
      <c r="HQ7" s="16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157"/>
      <c r="KI7" s="157"/>
      <c r="KJ7" s="157"/>
      <c r="KK7" s="157"/>
      <c r="KL7" s="157"/>
      <c r="KM7" s="157"/>
      <c r="KN7" s="157"/>
      <c r="KO7" s="157"/>
      <c r="KP7" s="157"/>
      <c r="KQ7" s="157"/>
      <c r="KR7" s="157"/>
      <c r="KS7" s="157"/>
      <c r="KT7" s="157"/>
      <c r="KU7" s="157"/>
    </row>
    <row r="8" spans="1:307">
      <c r="A8" s="66" t="s">
        <v>85</v>
      </c>
      <c r="B8" s="66"/>
      <c r="C8" s="665">
        <f>('[3]segmenty prez'!$E$35)*1000</f>
        <v>768000</v>
      </c>
      <c r="D8" s="665">
        <f>('[3]segmenty prez'!$E$71)*1000</f>
        <v>657000</v>
      </c>
      <c r="E8" s="663"/>
      <c r="F8" s="665">
        <f>[4]segmenty!$E$37*1000</f>
        <v>3103000</v>
      </c>
      <c r="G8" s="665">
        <f>[4]segmenty!$E$75*1000</f>
        <v>2763000</v>
      </c>
      <c r="H8" s="663"/>
      <c r="I8" s="664">
        <f t="shared" si="13"/>
        <v>939000</v>
      </c>
      <c r="J8" s="664">
        <f t="shared" si="14"/>
        <v>867000</v>
      </c>
      <c r="K8" s="663"/>
      <c r="L8" s="665">
        <f>('[5]segmenty prez'!$E$35)*1000</f>
        <v>2164000</v>
      </c>
      <c r="M8" s="665">
        <f>('[5]segmenty prez'!$E$71)*1000</f>
        <v>1896000</v>
      </c>
      <c r="N8" s="663"/>
      <c r="O8" s="665">
        <f>('[5]segmenty 3 m-ce PREZ'!$E$25)*1000</f>
        <v>764000</v>
      </c>
      <c r="P8" s="665">
        <f>('[5]segmenty 3 m-ce PREZ'!$E$54)*1000</f>
        <v>676000</v>
      </c>
      <c r="Q8" s="66"/>
      <c r="R8" s="665">
        <v>1400000</v>
      </c>
      <c r="S8" s="665">
        <v>1220000</v>
      </c>
      <c r="T8" s="663"/>
      <c r="U8" s="665">
        <v>743000</v>
      </c>
      <c r="V8" s="665">
        <v>646000</v>
      </c>
      <c r="W8" s="663"/>
      <c r="X8" s="665">
        <f>[6]segmenty!$D$37*1000</f>
        <v>657000</v>
      </c>
      <c r="Y8" s="665">
        <f>[6]segmenty!$D$75*1000</f>
        <v>574000</v>
      </c>
      <c r="Z8" s="663"/>
      <c r="AA8" s="665">
        <f>([7]segmenty!$D$37)*1000</f>
        <v>2762000</v>
      </c>
      <c r="AB8" s="665">
        <f>([7]segmenty!$D$76)*1000</f>
        <v>2137000</v>
      </c>
      <c r="AC8" s="663"/>
      <c r="AD8" s="665">
        <f t="shared" si="11"/>
        <v>866000</v>
      </c>
      <c r="AE8" s="665">
        <f t="shared" si="11"/>
        <v>699000</v>
      </c>
      <c r="AF8" s="663"/>
      <c r="AG8" s="609">
        <f>([8]segmenty!$D$37)*1000</f>
        <v>1896000</v>
      </c>
      <c r="AH8" s="609">
        <f>([8]segmenty!$D$76)*1000</f>
        <v>1438000</v>
      </c>
      <c r="AI8" s="624"/>
      <c r="AJ8" s="609">
        <f>('[8]segmenty 3 m-ce PREZ'!$D$25)*1000</f>
        <v>676000</v>
      </c>
      <c r="AK8" s="609">
        <f>('[8]segmenty 3 m-ce PREZ'!$D$55)*1000</f>
        <v>560000</v>
      </c>
      <c r="AL8" s="624"/>
      <c r="AM8" s="609">
        <f>[9]segmenty!$D$37*1000</f>
        <v>1220000</v>
      </c>
      <c r="AN8" s="609">
        <f>[9]segmenty!$D$75*1000</f>
        <v>878000</v>
      </c>
      <c r="AO8" s="624"/>
      <c r="AP8" s="609">
        <f>('[9]segmenty 3 m-ce PREZ'!$D$25)*1000</f>
        <v>646000</v>
      </c>
      <c r="AQ8" s="609">
        <f>('[9]segmenty 3 m-ce PREZ'!$D$54)*1000</f>
        <v>472000</v>
      </c>
      <c r="AR8" s="624"/>
      <c r="AS8" s="609">
        <f t="shared" si="12"/>
        <v>699000</v>
      </c>
      <c r="AT8" s="626">
        <f t="shared" si="12"/>
        <v>682000</v>
      </c>
      <c r="AU8" s="624"/>
      <c r="AV8" s="609">
        <v>2137000</v>
      </c>
      <c r="AW8" s="609">
        <v>2044000</v>
      </c>
      <c r="AX8" s="624"/>
      <c r="AY8" s="336">
        <v>560000</v>
      </c>
      <c r="AZ8" s="144">
        <v>440000</v>
      </c>
      <c r="BA8" s="66"/>
      <c r="BB8" s="336">
        <v>1438000</v>
      </c>
      <c r="BC8" s="144">
        <v>1362000</v>
      </c>
      <c r="BD8" s="66"/>
      <c r="BE8" s="336">
        <f t="shared" si="0"/>
        <v>472000</v>
      </c>
      <c r="BF8" s="144">
        <f t="shared" si="0"/>
        <v>465000</v>
      </c>
      <c r="BG8" s="66"/>
      <c r="BH8" s="336">
        <v>878000</v>
      </c>
      <c r="BI8" s="144">
        <v>922000</v>
      </c>
      <c r="BJ8" s="66"/>
      <c r="BK8" s="336">
        <v>406000</v>
      </c>
      <c r="BL8" s="144">
        <v>457000</v>
      </c>
      <c r="BM8" s="163"/>
      <c r="BN8" s="336">
        <f t="shared" si="1"/>
        <v>681753</v>
      </c>
      <c r="BO8" s="144">
        <f t="shared" si="2"/>
        <v>592029</v>
      </c>
      <c r="BP8" s="163"/>
      <c r="BQ8" s="336">
        <v>2044000</v>
      </c>
      <c r="BR8" s="144">
        <v>1908000</v>
      </c>
      <c r="BS8" s="163"/>
      <c r="BT8" s="336">
        <f t="shared" si="3"/>
        <v>440616</v>
      </c>
      <c r="BU8" s="144">
        <f t="shared" si="3"/>
        <v>407696</v>
      </c>
      <c r="BV8" s="163"/>
      <c r="BW8" s="336">
        <v>1362247</v>
      </c>
      <c r="BX8" s="144">
        <v>1315971</v>
      </c>
      <c r="BY8" s="163"/>
      <c r="BZ8" s="336">
        <f t="shared" si="4"/>
        <v>464685</v>
      </c>
      <c r="CA8" s="144">
        <f t="shared" si="4"/>
        <v>422939</v>
      </c>
      <c r="CB8" s="163"/>
      <c r="CC8" s="336">
        <v>921631</v>
      </c>
      <c r="CD8" s="144">
        <v>908275</v>
      </c>
      <c r="CE8" s="163"/>
      <c r="CF8" s="336">
        <v>456946</v>
      </c>
      <c r="CG8" s="144">
        <v>485336</v>
      </c>
      <c r="CH8" s="163"/>
      <c r="CI8" s="336">
        <f t="shared" si="5"/>
        <v>591976</v>
      </c>
      <c r="CJ8" s="144">
        <f t="shared" si="6"/>
        <v>454102</v>
      </c>
      <c r="CK8" s="163"/>
      <c r="CL8" s="336">
        <v>1907947</v>
      </c>
      <c r="CM8" s="336">
        <v>1784941</v>
      </c>
      <c r="CN8" s="163"/>
      <c r="CO8" s="336">
        <f t="shared" si="7"/>
        <v>407696</v>
      </c>
      <c r="CP8" s="144">
        <f t="shared" si="7"/>
        <v>468167</v>
      </c>
      <c r="CQ8" s="163"/>
      <c r="CR8" s="336">
        <v>1315971</v>
      </c>
      <c r="CS8" s="336">
        <v>1330839</v>
      </c>
      <c r="CT8" s="163"/>
      <c r="CU8" s="336">
        <f t="shared" si="8"/>
        <v>422939</v>
      </c>
      <c r="CV8" s="144">
        <f t="shared" si="9"/>
        <v>511909</v>
      </c>
      <c r="CW8" s="163"/>
      <c r="CX8" s="336">
        <v>908275</v>
      </c>
      <c r="CY8" s="144">
        <v>862672</v>
      </c>
      <c r="CZ8" s="163"/>
      <c r="DA8" s="336">
        <v>485336</v>
      </c>
      <c r="DB8" s="144">
        <v>350763</v>
      </c>
      <c r="DC8" s="163"/>
      <c r="DD8" s="341">
        <v>1784941</v>
      </c>
      <c r="DE8" s="144">
        <v>2014507</v>
      </c>
      <c r="DF8" s="366"/>
      <c r="DG8" s="341">
        <v>454102</v>
      </c>
      <c r="DH8" s="144">
        <v>827817</v>
      </c>
      <c r="DI8" s="366"/>
      <c r="DJ8" s="341">
        <v>1330839</v>
      </c>
      <c r="DK8" s="144">
        <v>1186690</v>
      </c>
      <c r="DL8" s="366"/>
      <c r="DM8" s="341">
        <v>468167</v>
      </c>
      <c r="DN8" s="144">
        <v>413530</v>
      </c>
      <c r="DO8" s="366"/>
      <c r="DP8" s="366"/>
      <c r="DQ8" s="341">
        <v>862672</v>
      </c>
      <c r="DR8" s="144">
        <v>773160</v>
      </c>
      <c r="DS8" s="366"/>
      <c r="DT8" s="341">
        <v>511909</v>
      </c>
      <c r="DU8" s="144">
        <v>504015</v>
      </c>
      <c r="DV8" s="366"/>
      <c r="DW8" s="341">
        <v>350763</v>
      </c>
      <c r="DX8" s="144">
        <v>269145</v>
      </c>
      <c r="DY8" s="366"/>
      <c r="DZ8" s="341">
        <v>2044029</v>
      </c>
      <c r="EA8" s="144">
        <v>1693016</v>
      </c>
      <c r="EB8" s="366"/>
      <c r="EC8" s="341">
        <f t="shared" si="10"/>
        <v>835089</v>
      </c>
      <c r="ED8" s="144">
        <f t="shared" si="10"/>
        <v>720476</v>
      </c>
      <c r="EE8" s="366"/>
      <c r="EF8" s="341">
        <v>1208940</v>
      </c>
      <c r="EG8" s="144">
        <v>972540</v>
      </c>
      <c r="EH8" s="366"/>
      <c r="EI8" s="341">
        <v>415462</v>
      </c>
      <c r="EJ8" s="144">
        <v>367910</v>
      </c>
      <c r="EK8" s="366"/>
      <c r="EL8" s="341">
        <v>793478</v>
      </c>
      <c r="EM8" s="144">
        <v>604630</v>
      </c>
      <c r="EN8" s="366"/>
      <c r="EO8" s="341">
        <v>519997</v>
      </c>
      <c r="EP8" s="144">
        <v>342543</v>
      </c>
      <c r="EQ8" s="366"/>
      <c r="ER8" s="341">
        <v>273481</v>
      </c>
      <c r="ES8" s="144">
        <v>262087</v>
      </c>
      <c r="ET8" s="366"/>
      <c r="EU8" s="341">
        <v>1693016</v>
      </c>
      <c r="EV8" s="144">
        <v>1806054</v>
      </c>
      <c r="EW8" s="366"/>
      <c r="EX8" s="341">
        <v>720476</v>
      </c>
      <c r="EY8" s="144">
        <v>634676</v>
      </c>
      <c r="EZ8" s="366"/>
      <c r="FA8" s="341">
        <v>972540</v>
      </c>
      <c r="FB8" s="144">
        <v>1171378</v>
      </c>
      <c r="FC8" s="366"/>
      <c r="FD8" s="341">
        <v>367910</v>
      </c>
      <c r="FE8" s="144">
        <v>427039</v>
      </c>
      <c r="FF8" s="366"/>
      <c r="FG8" s="341">
        <v>604630</v>
      </c>
      <c r="FH8" s="144">
        <v>744339</v>
      </c>
      <c r="FI8" s="163"/>
      <c r="FJ8" s="166">
        <v>342543</v>
      </c>
      <c r="FK8" s="156">
        <v>416024</v>
      </c>
      <c r="FL8" s="163"/>
      <c r="FM8" s="166">
        <v>262087</v>
      </c>
      <c r="FN8" s="156">
        <v>328315</v>
      </c>
      <c r="FO8" s="163"/>
      <c r="FP8" s="166">
        <v>1806054</v>
      </c>
      <c r="FQ8" s="156">
        <v>1924886</v>
      </c>
      <c r="FR8" s="163"/>
      <c r="FS8" s="166">
        <v>634676</v>
      </c>
      <c r="FT8" s="156">
        <v>791335</v>
      </c>
      <c r="FU8" s="163"/>
      <c r="FV8" s="166">
        <v>1171378</v>
      </c>
      <c r="FW8" s="156">
        <v>1133551</v>
      </c>
      <c r="FX8" s="163"/>
      <c r="FY8" s="166">
        <v>427039</v>
      </c>
      <c r="FZ8" s="156">
        <v>437305</v>
      </c>
      <c r="GA8" s="163"/>
      <c r="GB8" s="166">
        <v>744339</v>
      </c>
      <c r="GC8" s="156">
        <v>696246</v>
      </c>
      <c r="GD8" s="163"/>
      <c r="GE8" s="166">
        <v>416024</v>
      </c>
      <c r="GF8" s="156">
        <v>410845</v>
      </c>
      <c r="GG8" s="163"/>
      <c r="GH8" s="166">
        <v>328315</v>
      </c>
      <c r="GI8" s="156">
        <v>285401</v>
      </c>
      <c r="GJ8" s="163"/>
      <c r="GK8" s="166">
        <v>1924886</v>
      </c>
      <c r="GL8" s="156">
        <v>1934781</v>
      </c>
      <c r="GM8" s="163"/>
      <c r="GN8" s="166">
        <v>791335</v>
      </c>
      <c r="GO8" s="156">
        <v>648958</v>
      </c>
      <c r="GP8" s="163"/>
      <c r="GQ8" s="156">
        <v>1133551</v>
      </c>
      <c r="GR8" s="156">
        <v>1285823</v>
      </c>
      <c r="GS8" s="157"/>
      <c r="GT8" s="156">
        <v>437305</v>
      </c>
      <c r="GU8" s="156">
        <v>444335</v>
      </c>
      <c r="GV8" s="157"/>
      <c r="GW8" s="156">
        <v>696246</v>
      </c>
      <c r="GX8" s="156">
        <v>841488</v>
      </c>
      <c r="GY8" s="157"/>
      <c r="GZ8" s="156">
        <v>410845</v>
      </c>
      <c r="HA8" s="156">
        <v>461646</v>
      </c>
      <c r="HB8" s="157"/>
      <c r="HC8" s="156">
        <v>285401</v>
      </c>
      <c r="HD8" s="156">
        <v>379842</v>
      </c>
      <c r="HE8" s="157"/>
      <c r="HF8" s="163" t="s">
        <v>23</v>
      </c>
      <c r="HG8" s="156">
        <v>115951</v>
      </c>
      <c r="HH8" s="156">
        <v>606915</v>
      </c>
      <c r="HI8" s="157"/>
      <c r="HJ8" s="156">
        <v>79784</v>
      </c>
      <c r="HK8" s="156">
        <v>438534</v>
      </c>
      <c r="HL8" s="157"/>
      <c r="HM8" s="156">
        <v>57697</v>
      </c>
      <c r="HN8" s="156">
        <v>247822</v>
      </c>
      <c r="HO8" s="157"/>
      <c r="HP8" s="167">
        <v>606915</v>
      </c>
      <c r="HQ8" s="167">
        <v>340396</v>
      </c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</row>
    <row r="9" spans="1:307" ht="15.75">
      <c r="A9" s="66" t="s">
        <v>86</v>
      </c>
      <c r="B9" s="66"/>
      <c r="C9" s="665">
        <f>('[3]segmenty prez'!$F$35)*1000</f>
        <v>1000</v>
      </c>
      <c r="D9" s="665">
        <f>('[3]segmenty prez'!$F$71)*1000</f>
        <v>1000</v>
      </c>
      <c r="E9" s="663"/>
      <c r="F9" s="665">
        <f>[4]segmenty!$F$37*1000</f>
        <v>75000</v>
      </c>
      <c r="G9" s="665">
        <f>[4]segmenty!$F$75*1000</f>
        <v>109000</v>
      </c>
      <c r="H9" s="663"/>
      <c r="I9" s="664">
        <f t="shared" si="13"/>
        <v>28000</v>
      </c>
      <c r="J9" s="664">
        <f t="shared" si="14"/>
        <v>39000</v>
      </c>
      <c r="K9" s="663"/>
      <c r="L9" s="665">
        <f>('[5]segmenty prez'!$F$35)*1000</f>
        <v>47000</v>
      </c>
      <c r="M9" s="665">
        <f>('[5]segmenty prez'!$F$71)*1000</f>
        <v>70000</v>
      </c>
      <c r="N9" s="663"/>
      <c r="O9" s="665">
        <f>('[5]segmenty 3 m-ce PREZ'!$F$25)*1000</f>
        <v>16000</v>
      </c>
      <c r="P9" s="665">
        <f>('[5]segmenty 3 m-ce PREZ'!$F$54)*1000</f>
        <v>24000</v>
      </c>
      <c r="Q9" s="66"/>
      <c r="R9" s="665">
        <v>31000</v>
      </c>
      <c r="S9" s="665">
        <v>46000</v>
      </c>
      <c r="T9" s="663"/>
      <c r="U9" s="665">
        <v>18000</v>
      </c>
      <c r="V9" s="665">
        <v>22000</v>
      </c>
      <c r="W9" s="663"/>
      <c r="X9" s="665">
        <f>[6]segmenty!$E$37*1000</f>
        <v>13000</v>
      </c>
      <c r="Y9" s="665">
        <f>[6]segmenty!$E$75*1000</f>
        <v>24000</v>
      </c>
      <c r="Z9" s="663"/>
      <c r="AA9" s="665">
        <f>([7]segmenty!$E$37)*1000</f>
        <v>109000</v>
      </c>
      <c r="AB9" s="665">
        <f>([7]segmenty!$E$76)*1000</f>
        <v>75000</v>
      </c>
      <c r="AC9" s="663"/>
      <c r="AD9" s="665">
        <f t="shared" si="11"/>
        <v>39000</v>
      </c>
      <c r="AE9" s="665">
        <f t="shared" si="11"/>
        <v>19000</v>
      </c>
      <c r="AF9" s="663"/>
      <c r="AG9" s="609">
        <f>([8]segmenty!$E$37)*1000</f>
        <v>70000</v>
      </c>
      <c r="AH9" s="609">
        <f>([8]segmenty!$E$76)*1000</f>
        <v>56000</v>
      </c>
      <c r="AI9" s="624"/>
      <c r="AJ9" s="609">
        <f>('[8]segmenty 3 m-ce PREZ'!$E$25)*1000</f>
        <v>24000</v>
      </c>
      <c r="AK9" s="609">
        <f>('[8]segmenty 3 m-ce PREZ'!$E$55)*1000</f>
        <v>20000</v>
      </c>
      <c r="AL9" s="624"/>
      <c r="AM9" s="609">
        <f>[9]segmenty!$E$37*1000</f>
        <v>46000</v>
      </c>
      <c r="AN9" s="609">
        <f>[9]segmenty!$E$75*1000</f>
        <v>36000</v>
      </c>
      <c r="AO9" s="624"/>
      <c r="AP9" s="609">
        <f>('[9]segmenty 3 m-ce PREZ'!$E$25)*1000</f>
        <v>22000</v>
      </c>
      <c r="AQ9" s="609">
        <f>('[9]segmenty 3 m-ce PREZ'!$E$54)*1000</f>
        <v>22000</v>
      </c>
      <c r="AR9" s="624"/>
      <c r="AS9" s="609">
        <f t="shared" si="12"/>
        <v>19000</v>
      </c>
      <c r="AT9" s="626">
        <f t="shared" si="12"/>
        <v>33000</v>
      </c>
      <c r="AU9" s="624"/>
      <c r="AV9" s="609">
        <v>75000</v>
      </c>
      <c r="AW9" s="609">
        <v>82000</v>
      </c>
      <c r="AX9" s="624"/>
      <c r="AY9" s="336">
        <v>20000</v>
      </c>
      <c r="AZ9" s="144">
        <v>22000</v>
      </c>
      <c r="BA9" s="66"/>
      <c r="BB9" s="336">
        <v>56000</v>
      </c>
      <c r="BC9" s="144">
        <v>49000</v>
      </c>
      <c r="BD9" s="66"/>
      <c r="BE9" s="336">
        <f t="shared" si="0"/>
        <v>22000</v>
      </c>
      <c r="BF9" s="144">
        <f t="shared" si="0"/>
        <v>12000</v>
      </c>
      <c r="BG9" s="66"/>
      <c r="BH9" s="336">
        <v>36000</v>
      </c>
      <c r="BI9" s="144">
        <v>27000</v>
      </c>
      <c r="BJ9" s="66"/>
      <c r="BK9" s="336">
        <v>14000</v>
      </c>
      <c r="BL9" s="144">
        <v>15000</v>
      </c>
      <c r="BM9" s="163"/>
      <c r="BN9" s="336">
        <f t="shared" si="1"/>
        <v>32686</v>
      </c>
      <c r="BO9" s="144">
        <f t="shared" si="2"/>
        <v>29751</v>
      </c>
      <c r="BP9" s="163"/>
      <c r="BQ9" s="336">
        <v>82000</v>
      </c>
      <c r="BR9" s="144">
        <v>61000</v>
      </c>
      <c r="BS9" s="163"/>
      <c r="BT9" s="336">
        <f t="shared" si="3"/>
        <v>21859</v>
      </c>
      <c r="BU9" s="144">
        <f t="shared" si="3"/>
        <v>9866</v>
      </c>
      <c r="BV9" s="163"/>
      <c r="BW9" s="336">
        <v>49314</v>
      </c>
      <c r="BX9" s="144">
        <v>31249</v>
      </c>
      <c r="BY9" s="163"/>
      <c r="BZ9" s="336">
        <f t="shared" si="4"/>
        <v>12216</v>
      </c>
      <c r="CA9" s="144">
        <f t="shared" si="4"/>
        <v>9927</v>
      </c>
      <c r="CB9" s="163"/>
      <c r="CC9" s="336">
        <v>27455</v>
      </c>
      <c r="CD9" s="144">
        <v>21383</v>
      </c>
      <c r="CE9" s="163"/>
      <c r="CF9" s="336">
        <v>15239</v>
      </c>
      <c r="CG9" s="144">
        <v>11456</v>
      </c>
      <c r="CH9" s="163"/>
      <c r="CI9" s="336">
        <f t="shared" si="5"/>
        <v>30082</v>
      </c>
      <c r="CJ9" s="144">
        <f t="shared" si="6"/>
        <v>26823</v>
      </c>
      <c r="CK9" s="163"/>
      <c r="CL9" s="336">
        <v>61331</v>
      </c>
      <c r="CM9" s="336">
        <v>47460</v>
      </c>
      <c r="CN9" s="163"/>
      <c r="CO9" s="336">
        <f t="shared" si="7"/>
        <v>9866</v>
      </c>
      <c r="CP9" s="144">
        <f t="shared" si="7"/>
        <v>10387</v>
      </c>
      <c r="CQ9" s="163"/>
      <c r="CR9" s="336">
        <v>31249</v>
      </c>
      <c r="CS9" s="336">
        <v>20637</v>
      </c>
      <c r="CT9" s="163"/>
      <c r="CU9" s="336">
        <f t="shared" si="8"/>
        <v>9927</v>
      </c>
      <c r="CV9" s="144">
        <f t="shared" si="9"/>
        <v>5855</v>
      </c>
      <c r="CW9" s="163"/>
      <c r="CX9" s="336">
        <v>21383</v>
      </c>
      <c r="CY9" s="144">
        <v>10250</v>
      </c>
      <c r="CZ9" s="163"/>
      <c r="DA9" s="336">
        <v>11456</v>
      </c>
      <c r="DB9" s="144">
        <v>4395</v>
      </c>
      <c r="DC9" s="163"/>
      <c r="DD9" s="341">
        <v>47460</v>
      </c>
      <c r="DE9" s="144">
        <v>36947</v>
      </c>
      <c r="DF9" s="366"/>
      <c r="DG9" s="341">
        <v>26823</v>
      </c>
      <c r="DH9" s="144">
        <v>8682</v>
      </c>
      <c r="DI9" s="366"/>
      <c r="DJ9" s="341">
        <v>20637</v>
      </c>
      <c r="DK9" s="144">
        <v>28265</v>
      </c>
      <c r="DL9" s="366"/>
      <c r="DM9" s="341">
        <v>10387</v>
      </c>
      <c r="DN9" s="144">
        <v>3645</v>
      </c>
      <c r="DO9" s="366"/>
      <c r="DP9" s="366"/>
      <c r="DQ9" s="341">
        <v>10250</v>
      </c>
      <c r="DR9" s="144">
        <v>24620</v>
      </c>
      <c r="DS9" s="366"/>
      <c r="DT9" s="341">
        <v>5855</v>
      </c>
      <c r="DU9" s="144">
        <v>20115</v>
      </c>
      <c r="DV9" s="366"/>
      <c r="DW9" s="341">
        <v>4395</v>
      </c>
      <c r="DX9" s="144">
        <v>4505</v>
      </c>
      <c r="DY9" s="366"/>
      <c r="DZ9" s="341">
        <v>7425</v>
      </c>
      <c r="EA9" s="144">
        <v>751</v>
      </c>
      <c r="EB9" s="366"/>
      <c r="EC9" s="341">
        <f t="shared" si="10"/>
        <v>1410</v>
      </c>
      <c r="ED9" s="144">
        <f t="shared" si="10"/>
        <v>163</v>
      </c>
      <c r="EE9" s="366"/>
      <c r="EF9" s="341">
        <v>6015</v>
      </c>
      <c r="EG9" s="144">
        <v>588</v>
      </c>
      <c r="EH9" s="366"/>
      <c r="EI9" s="341">
        <v>1713</v>
      </c>
      <c r="EJ9" s="144">
        <v>6</v>
      </c>
      <c r="EK9" s="366"/>
      <c r="EL9" s="341">
        <v>4302</v>
      </c>
      <c r="EM9" s="144">
        <v>582</v>
      </c>
      <c r="EN9" s="366"/>
      <c r="EO9" s="341">
        <v>4133</v>
      </c>
      <c r="EP9" s="144">
        <v>333</v>
      </c>
      <c r="EQ9" s="366"/>
      <c r="ER9" s="341">
        <v>169</v>
      </c>
      <c r="ES9" s="144">
        <v>249</v>
      </c>
      <c r="ET9" s="366"/>
      <c r="EU9" s="341">
        <v>751</v>
      </c>
      <c r="EV9" s="144">
        <v>1452</v>
      </c>
      <c r="EW9" s="366"/>
      <c r="EX9" s="341">
        <v>163</v>
      </c>
      <c r="EY9" s="144">
        <v>288</v>
      </c>
      <c r="EZ9" s="366"/>
      <c r="FA9" s="341">
        <v>588</v>
      </c>
      <c r="FB9" s="144">
        <v>1164</v>
      </c>
      <c r="FC9" s="366"/>
      <c r="FD9" s="341">
        <v>6</v>
      </c>
      <c r="FE9" s="144">
        <v>407</v>
      </c>
      <c r="FF9" s="366"/>
      <c r="FG9" s="341">
        <v>582</v>
      </c>
      <c r="FH9" s="144">
        <v>757</v>
      </c>
      <c r="FI9" s="163"/>
      <c r="FJ9" s="166">
        <v>333</v>
      </c>
      <c r="FK9" s="156">
        <v>78</v>
      </c>
      <c r="FL9" s="163"/>
      <c r="FM9" s="166">
        <v>249</v>
      </c>
      <c r="FN9" s="156">
        <v>679</v>
      </c>
      <c r="FO9" s="163"/>
      <c r="FP9" s="166">
        <v>1452</v>
      </c>
      <c r="FQ9" s="156">
        <v>4604</v>
      </c>
      <c r="FR9" s="163"/>
      <c r="FS9" s="166">
        <v>288</v>
      </c>
      <c r="FT9" s="156">
        <v>1407</v>
      </c>
      <c r="FU9" s="163"/>
      <c r="FV9" s="166">
        <v>1164</v>
      </c>
      <c r="FW9" s="156">
        <v>3197</v>
      </c>
      <c r="FX9" s="163"/>
      <c r="FY9" s="166">
        <v>407</v>
      </c>
      <c r="FZ9" s="156">
        <v>666</v>
      </c>
      <c r="GA9" s="163"/>
      <c r="GB9" s="166">
        <v>757</v>
      </c>
      <c r="GC9" s="156">
        <v>2531</v>
      </c>
      <c r="GD9" s="163"/>
      <c r="GE9" s="166">
        <v>78</v>
      </c>
      <c r="GF9" s="156">
        <v>893</v>
      </c>
      <c r="GG9" s="163"/>
      <c r="GH9" s="166">
        <v>679</v>
      </c>
      <c r="GI9" s="156">
        <v>1638</v>
      </c>
      <c r="GJ9" s="163"/>
      <c r="GK9" s="166">
        <v>4604</v>
      </c>
      <c r="GL9" s="156">
        <v>5928</v>
      </c>
      <c r="GM9" s="163"/>
      <c r="GN9" s="166">
        <v>1407</v>
      </c>
      <c r="GO9" s="156">
        <v>3719</v>
      </c>
      <c r="GP9" s="163"/>
      <c r="GQ9" s="156">
        <v>3197</v>
      </c>
      <c r="GR9" s="156">
        <v>2209</v>
      </c>
      <c r="GS9" s="157"/>
      <c r="GT9" s="156">
        <v>666</v>
      </c>
      <c r="GU9" s="156">
        <v>1408</v>
      </c>
      <c r="GV9" s="157"/>
      <c r="GW9" s="156">
        <v>2531</v>
      </c>
      <c r="GX9" s="156">
        <v>801</v>
      </c>
      <c r="GY9" s="157"/>
      <c r="GZ9" s="156">
        <v>893</v>
      </c>
      <c r="HA9" s="156">
        <v>689</v>
      </c>
      <c r="HB9" s="157"/>
      <c r="HC9" s="156">
        <v>1638</v>
      </c>
      <c r="HD9" s="156">
        <v>112</v>
      </c>
      <c r="HE9" s="157"/>
      <c r="HF9" s="168" t="s">
        <v>25</v>
      </c>
      <c r="HG9" s="156">
        <v>335575</v>
      </c>
      <c r="HH9" s="156">
        <v>202252</v>
      </c>
      <c r="HI9" s="157"/>
      <c r="HJ9" s="156">
        <v>225479</v>
      </c>
      <c r="HK9" s="156">
        <v>116342</v>
      </c>
      <c r="HL9" s="157"/>
      <c r="HM9" s="156">
        <v>98395</v>
      </c>
      <c r="HN9" s="156">
        <v>50183</v>
      </c>
      <c r="HO9" s="157"/>
      <c r="HP9" s="167">
        <v>202252</v>
      </c>
      <c r="HQ9" s="167">
        <v>221763</v>
      </c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157"/>
      <c r="KI9" s="157"/>
      <c r="KJ9" s="157"/>
      <c r="KK9" s="157"/>
      <c r="KL9" s="157"/>
      <c r="KM9" s="157"/>
      <c r="KN9" s="157"/>
      <c r="KO9" s="157"/>
      <c r="KP9" s="157"/>
      <c r="KQ9" s="157"/>
      <c r="KR9" s="157"/>
      <c r="KS9" s="157"/>
      <c r="KT9" s="157"/>
      <c r="KU9" s="157"/>
    </row>
    <row r="10" spans="1:307">
      <c r="A10" s="66" t="s">
        <v>80</v>
      </c>
      <c r="B10" s="66"/>
      <c r="C10" s="665">
        <f>('[3]segmenty prez'!$G$35)*1000</f>
        <v>66000</v>
      </c>
      <c r="D10" s="665">
        <f>('[3]segmenty prez'!$G$71)*1000</f>
        <v>45000</v>
      </c>
      <c r="E10" s="663"/>
      <c r="F10" s="665">
        <f>[4]segmenty!$G$37*1000</f>
        <v>186000</v>
      </c>
      <c r="G10" s="665">
        <f>[4]segmenty!$G$75*1000</f>
        <v>325000</v>
      </c>
      <c r="H10" s="663"/>
      <c r="I10" s="664">
        <f t="shared" si="13"/>
        <v>51000</v>
      </c>
      <c r="J10" s="664">
        <f t="shared" si="14"/>
        <v>183000</v>
      </c>
      <c r="K10" s="663"/>
      <c r="L10" s="665">
        <f>('[5]segmenty prez'!$G$35)*1000</f>
        <v>135000</v>
      </c>
      <c r="M10" s="665">
        <f>('[5]segmenty prez'!$G$71)*1000</f>
        <v>142000</v>
      </c>
      <c r="N10" s="663"/>
      <c r="O10" s="665">
        <f>('[5]segmenty 3 m-ce PREZ'!$G$25)*1000</f>
        <v>32000</v>
      </c>
      <c r="P10" s="665">
        <f>('[5]segmenty 3 m-ce PREZ'!$G$54)*1000</f>
        <v>48000</v>
      </c>
      <c r="Q10" s="66"/>
      <c r="R10" s="665">
        <v>103000</v>
      </c>
      <c r="S10" s="665">
        <v>94000</v>
      </c>
      <c r="T10" s="663"/>
      <c r="U10" s="665">
        <v>70000</v>
      </c>
      <c r="V10" s="665">
        <v>62000</v>
      </c>
      <c r="W10" s="663"/>
      <c r="X10" s="665">
        <f>[6]segmenty!$F$37*1000</f>
        <v>32000</v>
      </c>
      <c r="Y10" s="665">
        <f>[6]segmenty!$F$75*1000</f>
        <v>33000</v>
      </c>
      <c r="Z10" s="663"/>
      <c r="AA10" s="665">
        <f>([7]segmenty!$F$37)*1000</f>
        <v>332000</v>
      </c>
      <c r="AB10" s="665">
        <f>([7]segmenty!$F$76)*1000</f>
        <v>391000</v>
      </c>
      <c r="AC10" s="663"/>
      <c r="AD10" s="665">
        <f t="shared" si="11"/>
        <v>189000</v>
      </c>
      <c r="AE10" s="665">
        <f t="shared" si="11"/>
        <v>159000</v>
      </c>
      <c r="AF10" s="663"/>
      <c r="AG10" s="609">
        <f>([8]segmenty!$F$37)*1000</f>
        <v>143000</v>
      </c>
      <c r="AH10" s="609">
        <f>([8]segmenty!$F$76)*1000</f>
        <v>232000</v>
      </c>
      <c r="AI10" s="624"/>
      <c r="AJ10" s="609">
        <f>('[8]segmenty 3 m-ce PREZ'!$F$25)*1000</f>
        <v>49000</v>
      </c>
      <c r="AK10" s="609">
        <f>('[8]segmenty 3 m-ce PREZ'!$F$55)*1000</f>
        <v>42000</v>
      </c>
      <c r="AL10" s="624"/>
      <c r="AM10" s="609">
        <f>[9]segmenty!$F$37*1000</f>
        <v>94000</v>
      </c>
      <c r="AN10" s="609">
        <f>[9]segmenty!$F$75*1000</f>
        <v>190000</v>
      </c>
      <c r="AO10" s="624"/>
      <c r="AP10" s="609">
        <f>('[9]segmenty 3 m-ce PREZ'!$F$25)*1000</f>
        <v>61000</v>
      </c>
      <c r="AQ10" s="609">
        <f>('[9]segmenty 3 m-ce PREZ'!$F$54)*1000</f>
        <v>154000</v>
      </c>
      <c r="AR10" s="624"/>
      <c r="AS10" s="609">
        <f t="shared" si="12"/>
        <v>159000</v>
      </c>
      <c r="AT10" s="626">
        <f t="shared" si="12"/>
        <v>83000</v>
      </c>
      <c r="AU10" s="624"/>
      <c r="AV10" s="609">
        <v>391000</v>
      </c>
      <c r="AW10" s="609">
        <v>200000</v>
      </c>
      <c r="AX10" s="624"/>
      <c r="AY10" s="336">
        <v>42000</v>
      </c>
      <c r="AZ10" s="144">
        <v>36000</v>
      </c>
      <c r="BA10" s="66"/>
      <c r="BB10" s="336">
        <v>232000</v>
      </c>
      <c r="BC10" s="144">
        <v>117000</v>
      </c>
      <c r="BD10" s="66"/>
      <c r="BE10" s="336">
        <f t="shared" si="0"/>
        <v>154000</v>
      </c>
      <c r="BF10" s="144">
        <f t="shared" si="0"/>
        <v>45000</v>
      </c>
      <c r="BG10" s="66"/>
      <c r="BH10" s="336">
        <v>190000</v>
      </c>
      <c r="BI10" s="144">
        <v>81000</v>
      </c>
      <c r="BJ10" s="66"/>
      <c r="BK10" s="336">
        <v>36000</v>
      </c>
      <c r="BL10" s="144">
        <v>36000</v>
      </c>
      <c r="BM10" s="163"/>
      <c r="BN10" s="336">
        <f t="shared" si="1"/>
        <v>81240</v>
      </c>
      <c r="BO10" s="144">
        <f t="shared" si="2"/>
        <v>123672</v>
      </c>
      <c r="BP10" s="163"/>
      <c r="BQ10" s="336">
        <v>200000</v>
      </c>
      <c r="BR10" s="144">
        <v>248000</v>
      </c>
      <c r="BS10" s="163"/>
      <c r="BT10" s="336">
        <f t="shared" si="3"/>
        <v>36345</v>
      </c>
      <c r="BU10" s="144">
        <f t="shared" si="3"/>
        <v>58542</v>
      </c>
      <c r="BV10" s="163"/>
      <c r="BW10" s="336">
        <v>118760</v>
      </c>
      <c r="BX10" s="144">
        <v>124328</v>
      </c>
      <c r="BY10" s="163"/>
      <c r="BZ10" s="336">
        <f t="shared" si="4"/>
        <v>46056</v>
      </c>
      <c r="CA10" s="144">
        <f t="shared" si="4"/>
        <v>40613</v>
      </c>
      <c r="CB10" s="163"/>
      <c r="CC10" s="336">
        <v>82415</v>
      </c>
      <c r="CD10" s="144">
        <v>65786</v>
      </c>
      <c r="CE10" s="163"/>
      <c r="CF10" s="336">
        <v>36359</v>
      </c>
      <c r="CG10" s="144">
        <v>25173</v>
      </c>
      <c r="CH10" s="163"/>
      <c r="CI10" s="336">
        <f t="shared" si="5"/>
        <v>124157</v>
      </c>
      <c r="CJ10" s="144">
        <f t="shared" si="6"/>
        <v>84387</v>
      </c>
      <c r="CK10" s="163"/>
      <c r="CL10" s="336">
        <v>248485</v>
      </c>
      <c r="CM10" s="336">
        <v>132901</v>
      </c>
      <c r="CN10" s="163"/>
      <c r="CO10" s="336">
        <f t="shared" si="7"/>
        <v>58542</v>
      </c>
      <c r="CP10" s="144">
        <f t="shared" si="7"/>
        <v>16687</v>
      </c>
      <c r="CQ10" s="163"/>
      <c r="CR10" s="336">
        <v>124328</v>
      </c>
      <c r="CS10" s="336">
        <v>48514</v>
      </c>
      <c r="CT10" s="163"/>
      <c r="CU10" s="336">
        <f t="shared" si="8"/>
        <v>40613</v>
      </c>
      <c r="CV10" s="144">
        <f t="shared" si="9"/>
        <v>15237</v>
      </c>
      <c r="CW10" s="163"/>
      <c r="CX10" s="336">
        <v>65786</v>
      </c>
      <c r="CY10" s="144">
        <v>31827</v>
      </c>
      <c r="CZ10" s="163"/>
      <c r="DA10" s="336">
        <v>25173</v>
      </c>
      <c r="DB10" s="144">
        <v>16590</v>
      </c>
      <c r="DC10" s="163"/>
      <c r="DD10" s="341">
        <v>132901</v>
      </c>
      <c r="DE10" s="144">
        <v>74561</v>
      </c>
      <c r="DF10" s="366"/>
      <c r="DG10" s="341">
        <v>84387</v>
      </c>
      <c r="DH10" s="144">
        <v>34802</v>
      </c>
      <c r="DI10" s="366"/>
      <c r="DJ10" s="341">
        <v>48514</v>
      </c>
      <c r="DK10" s="144">
        <v>39759</v>
      </c>
      <c r="DL10" s="366"/>
      <c r="DM10" s="341">
        <v>16687</v>
      </c>
      <c r="DN10" s="144">
        <v>17573</v>
      </c>
      <c r="DO10" s="366"/>
      <c r="DP10" s="366"/>
      <c r="DQ10" s="341">
        <v>31827</v>
      </c>
      <c r="DR10" s="144">
        <v>22186</v>
      </c>
      <c r="DS10" s="366"/>
      <c r="DT10" s="341">
        <v>15237</v>
      </c>
      <c r="DU10" s="144">
        <v>9429</v>
      </c>
      <c r="DV10" s="366"/>
      <c r="DW10" s="341">
        <v>16590</v>
      </c>
      <c r="DX10" s="144">
        <v>12757</v>
      </c>
      <c r="DY10" s="366"/>
      <c r="DZ10" s="341">
        <v>73241</v>
      </c>
      <c r="EA10" s="144">
        <v>97911</v>
      </c>
      <c r="EB10" s="366"/>
      <c r="EC10" s="341">
        <f t="shared" si="10"/>
        <v>33482</v>
      </c>
      <c r="ED10" s="144">
        <f t="shared" si="10"/>
        <v>65281</v>
      </c>
      <c r="EE10" s="366"/>
      <c r="EF10" s="341">
        <v>39759</v>
      </c>
      <c r="EG10" s="144">
        <v>32630</v>
      </c>
      <c r="EH10" s="366"/>
      <c r="EI10" s="341">
        <v>17573</v>
      </c>
      <c r="EJ10" s="144">
        <v>12389</v>
      </c>
      <c r="EK10" s="366"/>
      <c r="EL10" s="341">
        <v>22186</v>
      </c>
      <c r="EM10" s="144">
        <v>20241</v>
      </c>
      <c r="EN10" s="366"/>
      <c r="EO10" s="341">
        <v>9429</v>
      </c>
      <c r="EP10" s="144">
        <v>10403</v>
      </c>
      <c r="EQ10" s="366"/>
      <c r="ER10" s="341">
        <v>12757</v>
      </c>
      <c r="ES10" s="144">
        <v>9838</v>
      </c>
      <c r="ET10" s="366"/>
      <c r="EU10" s="341">
        <v>97911</v>
      </c>
      <c r="EV10" s="144">
        <v>64921</v>
      </c>
      <c r="EW10" s="366"/>
      <c r="EX10" s="341">
        <v>65281</v>
      </c>
      <c r="EY10" s="144">
        <v>30284</v>
      </c>
      <c r="EZ10" s="366"/>
      <c r="FA10" s="341">
        <v>32630</v>
      </c>
      <c r="FB10" s="144">
        <v>34637</v>
      </c>
      <c r="FC10" s="366"/>
      <c r="FD10" s="341">
        <v>12389</v>
      </c>
      <c r="FE10" s="144">
        <v>18077</v>
      </c>
      <c r="FF10" s="366"/>
      <c r="FG10" s="341">
        <v>20241</v>
      </c>
      <c r="FH10" s="144">
        <v>16560</v>
      </c>
      <c r="FI10" s="163"/>
      <c r="FJ10" s="166">
        <v>10403</v>
      </c>
      <c r="FK10" s="156">
        <v>11182</v>
      </c>
      <c r="FL10" s="163"/>
      <c r="FM10" s="166">
        <v>9838</v>
      </c>
      <c r="FN10" s="156">
        <v>5378</v>
      </c>
      <c r="FO10" s="163"/>
      <c r="FP10" s="166">
        <v>64921</v>
      </c>
      <c r="FQ10" s="156">
        <v>100293</v>
      </c>
      <c r="FR10" s="163"/>
      <c r="FS10" s="166">
        <v>30284</v>
      </c>
      <c r="FT10" s="156">
        <v>44365</v>
      </c>
      <c r="FU10" s="163"/>
      <c r="FV10" s="166">
        <v>34637</v>
      </c>
      <c r="FW10" s="156">
        <v>55928</v>
      </c>
      <c r="FX10" s="163"/>
      <c r="FY10" s="166">
        <v>18077</v>
      </c>
      <c r="FZ10" s="156">
        <v>15792</v>
      </c>
      <c r="GA10" s="163"/>
      <c r="GB10" s="166">
        <v>16560</v>
      </c>
      <c r="GC10" s="156">
        <v>40136</v>
      </c>
      <c r="GD10" s="163"/>
      <c r="GE10" s="166">
        <v>11182</v>
      </c>
      <c r="GF10" s="156">
        <v>18900</v>
      </c>
      <c r="GG10" s="163"/>
      <c r="GH10" s="166">
        <v>5378</v>
      </c>
      <c r="GI10" s="156">
        <v>21236</v>
      </c>
      <c r="GJ10" s="163"/>
      <c r="GK10" s="166">
        <v>100293</v>
      </c>
      <c r="GL10" s="156">
        <v>104957</v>
      </c>
      <c r="GM10" s="163"/>
      <c r="GN10" s="166">
        <v>44365</v>
      </c>
      <c r="GO10" s="156">
        <v>48013</v>
      </c>
      <c r="GP10" s="163"/>
      <c r="GQ10" s="156">
        <v>55928</v>
      </c>
      <c r="GR10" s="156">
        <v>56944</v>
      </c>
      <c r="GS10" s="157"/>
      <c r="GT10" s="156">
        <v>15792</v>
      </c>
      <c r="GU10" s="156">
        <v>13727</v>
      </c>
      <c r="GV10" s="157"/>
      <c r="GW10" s="156">
        <v>40136</v>
      </c>
      <c r="GX10" s="156">
        <v>43217</v>
      </c>
      <c r="GY10" s="157"/>
      <c r="GZ10" s="156">
        <v>18900</v>
      </c>
      <c r="HA10" s="156">
        <v>29215</v>
      </c>
      <c r="HB10" s="157"/>
      <c r="HC10" s="156">
        <v>21236</v>
      </c>
      <c r="HD10" s="156">
        <v>14002</v>
      </c>
      <c r="HE10" s="157"/>
      <c r="HF10" s="163" t="s">
        <v>22</v>
      </c>
      <c r="HG10" s="156">
        <v>1934781</v>
      </c>
      <c r="HH10" s="156">
        <v>2080675</v>
      </c>
      <c r="HI10" s="157"/>
      <c r="HJ10" s="156">
        <v>1285823</v>
      </c>
      <c r="HK10" s="156">
        <v>1191798</v>
      </c>
      <c r="HL10" s="157"/>
      <c r="HM10" s="156">
        <v>841488</v>
      </c>
      <c r="HN10" s="156">
        <v>633812</v>
      </c>
      <c r="HO10" s="157"/>
      <c r="HP10" s="167">
        <v>2080675</v>
      </c>
      <c r="HQ10" s="167">
        <v>1785779</v>
      </c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157"/>
      <c r="KI10" s="157"/>
      <c r="KJ10" s="157"/>
      <c r="KK10" s="157"/>
      <c r="KL10" s="157"/>
      <c r="KM10" s="157"/>
      <c r="KN10" s="157"/>
      <c r="KO10" s="157"/>
      <c r="KP10" s="157"/>
      <c r="KQ10" s="157"/>
      <c r="KR10" s="157"/>
      <c r="KS10" s="157"/>
      <c r="KT10" s="157"/>
      <c r="KU10" s="157"/>
    </row>
    <row r="11" spans="1:307">
      <c r="A11" s="27" t="s">
        <v>591</v>
      </c>
      <c r="B11" s="66"/>
      <c r="C11" s="666"/>
      <c r="D11" s="666"/>
      <c r="E11" s="663"/>
      <c r="F11" s="666"/>
      <c r="G11" s="666"/>
      <c r="H11" s="663"/>
      <c r="I11" s="666"/>
      <c r="J11" s="666"/>
      <c r="K11" s="663"/>
      <c r="L11" s="666"/>
      <c r="M11" s="666"/>
      <c r="N11" s="663"/>
      <c r="O11" s="666"/>
      <c r="P11" s="666"/>
      <c r="Q11" s="66"/>
      <c r="R11" s="666"/>
      <c r="S11" s="666"/>
      <c r="T11" s="663"/>
      <c r="U11" s="666"/>
      <c r="V11" s="666"/>
      <c r="W11" s="663"/>
      <c r="X11" s="666"/>
      <c r="Y11" s="666"/>
      <c r="Z11" s="663"/>
      <c r="AA11" s="666"/>
      <c r="AB11" s="666">
        <f>([7]segmenty!$I$76)*1000</f>
        <v>517000</v>
      </c>
      <c r="AC11" s="663"/>
      <c r="AD11" s="666"/>
      <c r="AE11" s="666">
        <f>AB11-AH11</f>
        <v>206000</v>
      </c>
      <c r="AF11" s="663"/>
      <c r="AG11" s="627"/>
      <c r="AH11" s="627">
        <f>([8]segmenty!$I$76)*1000</f>
        <v>311000</v>
      </c>
      <c r="AI11" s="624"/>
      <c r="AJ11" s="627"/>
      <c r="AK11" s="627">
        <f>('[8]segmenty 3 m-ce PREZ'!$I$55)*1000</f>
        <v>144000</v>
      </c>
      <c r="AL11" s="624"/>
      <c r="AM11" s="627"/>
      <c r="AN11" s="627">
        <f>SUM([9]segmenty!$I$75:$J$75)*1000</f>
        <v>167000</v>
      </c>
      <c r="AO11" s="624"/>
      <c r="AP11" s="627">
        <v>0</v>
      </c>
      <c r="AQ11" s="627">
        <f>('[9]segmenty 3 m-ce PREZ'!$I$54)*1000</f>
        <v>98000</v>
      </c>
      <c r="AR11" s="624"/>
      <c r="AS11" s="627">
        <f>AV11-BB4</f>
        <v>206000</v>
      </c>
      <c r="AT11" s="628">
        <f>AW11-BC4</f>
        <v>83000</v>
      </c>
      <c r="AU11" s="624"/>
      <c r="AV11" s="627">
        <v>517000</v>
      </c>
      <c r="AW11" s="627">
        <v>276000</v>
      </c>
      <c r="AX11" s="624"/>
      <c r="AY11" s="371"/>
      <c r="AZ11" s="145"/>
      <c r="BA11" s="66"/>
      <c r="BB11" s="371"/>
      <c r="BC11" s="145"/>
      <c r="BD11" s="66"/>
      <c r="BE11" s="371"/>
      <c r="BF11" s="145"/>
      <c r="BG11" s="66"/>
      <c r="BH11" s="371"/>
      <c r="BI11" s="145"/>
      <c r="BJ11" s="66"/>
      <c r="BK11" s="371"/>
      <c r="BL11" s="145"/>
      <c r="BM11" s="163"/>
      <c r="BN11" s="371"/>
      <c r="BO11" s="145"/>
      <c r="BP11" s="163"/>
      <c r="BQ11" s="371"/>
      <c r="BR11" s="145"/>
      <c r="BS11" s="163"/>
      <c r="BT11" s="371"/>
      <c r="BU11" s="145"/>
      <c r="BV11" s="163"/>
      <c r="BW11" s="371"/>
      <c r="BX11" s="145"/>
      <c r="BY11" s="163"/>
      <c r="BZ11" s="371"/>
      <c r="CA11" s="145"/>
      <c r="CB11" s="163"/>
      <c r="CC11" s="371"/>
      <c r="CD11" s="145"/>
      <c r="CE11" s="163"/>
      <c r="CF11" s="371"/>
      <c r="CG11" s="145"/>
      <c r="CH11" s="163"/>
      <c r="CI11" s="371">
        <f t="shared" si="5"/>
        <v>33500</v>
      </c>
      <c r="CJ11" s="145">
        <f t="shared" si="6"/>
        <v>31506</v>
      </c>
      <c r="CK11" s="163"/>
      <c r="CL11" s="371">
        <v>100319</v>
      </c>
      <c r="CM11" s="371">
        <v>84483</v>
      </c>
      <c r="CN11" s="163"/>
      <c r="CO11" s="371">
        <f t="shared" si="7"/>
        <v>34379</v>
      </c>
      <c r="CP11" s="145">
        <f t="shared" si="7"/>
        <v>25335</v>
      </c>
      <c r="CQ11" s="163"/>
      <c r="CR11" s="371">
        <v>66819</v>
      </c>
      <c r="CS11" s="371">
        <v>52977</v>
      </c>
      <c r="CT11" s="163"/>
      <c r="CU11" s="371">
        <f t="shared" si="8"/>
        <v>18613</v>
      </c>
      <c r="CV11" s="145">
        <f t="shared" si="9"/>
        <v>16130</v>
      </c>
      <c r="CW11" s="163"/>
      <c r="CX11" s="371">
        <v>32440</v>
      </c>
      <c r="CY11" s="145">
        <v>27642</v>
      </c>
      <c r="CZ11" s="163"/>
      <c r="DA11" s="371">
        <v>13827</v>
      </c>
      <c r="DB11" s="145">
        <v>11512</v>
      </c>
      <c r="DC11" s="163"/>
      <c r="DD11" s="367"/>
      <c r="DE11" s="145"/>
      <c r="DF11" s="366"/>
      <c r="DG11" s="367"/>
      <c r="DH11" s="145"/>
      <c r="DI11" s="366"/>
      <c r="DJ11" s="367"/>
      <c r="DK11" s="145"/>
      <c r="DL11" s="366"/>
      <c r="DM11" s="367"/>
      <c r="DN11" s="145"/>
      <c r="DO11" s="366"/>
      <c r="DP11" s="366"/>
      <c r="DQ11" s="367"/>
      <c r="DR11" s="145"/>
      <c r="DS11" s="366"/>
      <c r="DT11" s="367"/>
      <c r="DU11" s="145"/>
      <c r="DV11" s="366"/>
      <c r="DW11" s="367"/>
      <c r="DX11" s="145"/>
      <c r="DY11" s="366"/>
      <c r="DZ11" s="367"/>
      <c r="EA11" s="145"/>
      <c r="EB11" s="366"/>
      <c r="EC11" s="367"/>
      <c r="ED11" s="145"/>
      <c r="EE11" s="366"/>
      <c r="EF11" s="367"/>
      <c r="EG11" s="145"/>
      <c r="EH11" s="366"/>
      <c r="EI11" s="367"/>
      <c r="EJ11" s="145"/>
      <c r="EK11" s="366"/>
      <c r="EL11" s="367"/>
      <c r="EM11" s="145"/>
      <c r="EN11" s="366"/>
      <c r="EO11" s="367"/>
      <c r="EP11" s="145"/>
      <c r="EQ11" s="366"/>
      <c r="ER11" s="367"/>
      <c r="ES11" s="145"/>
      <c r="ET11" s="366"/>
      <c r="EU11" s="367"/>
      <c r="EV11" s="145"/>
      <c r="EW11" s="366"/>
      <c r="EX11" s="367"/>
      <c r="EY11" s="145"/>
      <c r="EZ11" s="366"/>
      <c r="FA11" s="367"/>
      <c r="FB11" s="145"/>
      <c r="FC11" s="366"/>
      <c r="FD11" s="367"/>
      <c r="FE11" s="145"/>
      <c r="FF11" s="366"/>
      <c r="FG11" s="367"/>
      <c r="FH11" s="145"/>
      <c r="FI11" s="163"/>
      <c r="FJ11" s="169"/>
      <c r="FK11" s="170"/>
      <c r="FL11" s="163"/>
      <c r="FM11" s="169"/>
      <c r="FN11" s="170"/>
      <c r="FO11" s="163"/>
      <c r="FP11" s="169"/>
      <c r="FQ11" s="170"/>
      <c r="FR11" s="163"/>
      <c r="FS11" s="169"/>
      <c r="FT11" s="170"/>
      <c r="FU11" s="163"/>
      <c r="FV11" s="169"/>
      <c r="FW11" s="170"/>
      <c r="FX11" s="163"/>
      <c r="FY11" s="169"/>
      <c r="FZ11" s="170"/>
      <c r="GA11" s="163"/>
      <c r="GB11" s="169"/>
      <c r="GC11" s="170"/>
      <c r="GD11" s="163"/>
      <c r="GE11" s="169"/>
      <c r="GF11" s="170"/>
      <c r="GG11" s="163"/>
      <c r="GH11" s="169"/>
      <c r="GI11" s="170"/>
      <c r="GJ11" s="163"/>
      <c r="GK11" s="169"/>
      <c r="GL11" s="170"/>
      <c r="GM11" s="163"/>
      <c r="GN11" s="169"/>
      <c r="GO11" s="170"/>
      <c r="GP11" s="163"/>
      <c r="GQ11" s="170"/>
      <c r="GR11" s="170"/>
      <c r="GS11" s="157"/>
      <c r="GT11" s="170"/>
      <c r="GU11" s="170"/>
      <c r="GV11" s="157"/>
      <c r="GW11" s="170"/>
      <c r="GX11" s="170"/>
      <c r="GY11" s="157"/>
      <c r="GZ11" s="170"/>
      <c r="HA11" s="170"/>
      <c r="HB11" s="157"/>
      <c r="HC11" s="170"/>
      <c r="HD11" s="170"/>
      <c r="HE11" s="157"/>
      <c r="HF11" s="163"/>
      <c r="HG11" s="156"/>
      <c r="HH11" s="156"/>
      <c r="HI11" s="157"/>
      <c r="HJ11" s="156"/>
      <c r="HK11" s="156"/>
      <c r="HL11" s="157"/>
      <c r="HM11" s="156"/>
      <c r="HN11" s="156"/>
      <c r="HO11" s="157"/>
      <c r="HP11" s="167"/>
      <c r="HQ11" s="16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</row>
    <row r="12" spans="1:307">
      <c r="A12" s="67" t="s">
        <v>373</v>
      </c>
      <c r="C12" s="665"/>
      <c r="D12" s="667"/>
      <c r="F12" s="665"/>
      <c r="G12" s="667"/>
      <c r="I12" s="665"/>
      <c r="J12" s="667"/>
      <c r="L12" s="665"/>
      <c r="M12" s="667"/>
      <c r="O12" s="665"/>
      <c r="P12" s="667"/>
      <c r="R12" s="665"/>
      <c r="S12" s="667"/>
      <c r="U12" s="665"/>
      <c r="V12" s="667"/>
      <c r="X12" s="665"/>
      <c r="Y12" s="667"/>
      <c r="AA12" s="665"/>
      <c r="AB12" s="667"/>
      <c r="AD12" s="665"/>
      <c r="AE12" s="667"/>
      <c r="AG12" s="609"/>
      <c r="AH12" s="626"/>
      <c r="AJ12" s="609"/>
      <c r="AK12" s="626"/>
      <c r="AM12" s="609"/>
      <c r="AN12" s="626"/>
      <c r="AP12" s="609"/>
      <c r="AQ12" s="626"/>
      <c r="AS12" s="609"/>
      <c r="AT12" s="626"/>
      <c r="AV12" s="609"/>
      <c r="AW12" s="626"/>
      <c r="AY12" s="336"/>
      <c r="AZ12" s="144"/>
      <c r="BB12" s="336"/>
      <c r="BC12" s="144"/>
      <c r="BE12" s="336">
        <f t="shared" ref="BE12:BF12" si="15">SUM(BE4:BE11)</f>
        <v>871000</v>
      </c>
      <c r="BF12" s="144">
        <f t="shared" si="15"/>
        <v>648000</v>
      </c>
      <c r="BH12" s="336">
        <f t="shared" ref="BH12:BI12" si="16">SUM(BH4:BH11)</f>
        <v>1481000</v>
      </c>
      <c r="BI12" s="144">
        <f t="shared" si="16"/>
        <v>1286000</v>
      </c>
      <c r="BK12" s="336">
        <f t="shared" ref="BK12:BL12" si="17">SUM(BK4:BK11)</f>
        <v>610000</v>
      </c>
      <c r="BL12" s="144">
        <f t="shared" si="17"/>
        <v>638000</v>
      </c>
      <c r="BN12" s="336">
        <f t="shared" ref="BN12:BO12" si="18">SUM(BN4:BN11)</f>
        <v>968858</v>
      </c>
      <c r="BO12" s="144">
        <f t="shared" si="18"/>
        <v>1311397</v>
      </c>
      <c r="BQ12" s="336">
        <f t="shared" ref="BQ12:BR12" si="19">SUM(BQ4:BQ11)</f>
        <v>2932000</v>
      </c>
      <c r="BR12" s="144">
        <f t="shared" si="19"/>
        <v>4039000</v>
      </c>
      <c r="BT12" s="336">
        <f t="shared" ref="BT12:BU12" si="20">SUM(BT4:BT11)</f>
        <v>676010</v>
      </c>
      <c r="BU12" s="144">
        <f t="shared" si="20"/>
        <v>915322</v>
      </c>
      <c r="BW12" s="336">
        <f t="shared" ref="BW12:BX12" si="21">SUM(BW4:BW11)</f>
        <v>1963142</v>
      </c>
      <c r="BX12" s="144">
        <f t="shared" si="21"/>
        <v>2727603</v>
      </c>
      <c r="BZ12" s="336">
        <f t="shared" ref="BZ12:CA12" si="22">SUM(BZ4:BZ11)</f>
        <v>648184</v>
      </c>
      <c r="CA12" s="144">
        <f t="shared" si="22"/>
        <v>872439</v>
      </c>
      <c r="CC12" s="336">
        <f t="shared" ref="CC12:CD12" si="23">SUM(CC4:CC11)</f>
        <v>1287132</v>
      </c>
      <c r="CD12" s="144">
        <f t="shared" si="23"/>
        <v>1812281</v>
      </c>
      <c r="CF12" s="336">
        <f t="shared" ref="CF12:CG12" si="24">SUM(CF4:CF11)</f>
        <v>638948</v>
      </c>
      <c r="CG12" s="144">
        <f t="shared" si="24"/>
        <v>939842</v>
      </c>
      <c r="CI12" s="336">
        <f>SUM(CI4:CI11)</f>
        <v>1311691</v>
      </c>
      <c r="CJ12" s="144">
        <f>SUM(CJ4:CJ11)</f>
        <v>1386910</v>
      </c>
      <c r="CL12" s="336">
        <f t="shared" ref="CL12:CM12" si="25">SUM(CL4:CL11)</f>
        <v>4039294</v>
      </c>
      <c r="CM12" s="336">
        <f t="shared" si="25"/>
        <v>4127891</v>
      </c>
      <c r="CO12" s="336">
        <f>SUM(CO4:CO11)</f>
        <v>915322</v>
      </c>
      <c r="CP12" s="144">
        <f>SUM(CP4:CP11)</f>
        <v>1098880</v>
      </c>
      <c r="CR12" s="336">
        <f t="shared" ref="CR12" si="26">SUM(CR4:CR11)</f>
        <v>2727603</v>
      </c>
      <c r="CS12" s="336">
        <f t="shared" ref="CS12" si="27">SUM(CS4:CS11)</f>
        <v>2740981</v>
      </c>
      <c r="CU12" s="336">
        <f>SUM(CU4:CU11)</f>
        <v>872439</v>
      </c>
      <c r="CV12" s="144">
        <f>SUM(CV4:CV11)</f>
        <v>915557</v>
      </c>
      <c r="CX12" s="336">
        <f t="shared" ref="CX12:CY12" si="28">SUM(CX4:CX11)</f>
        <v>1812281</v>
      </c>
      <c r="CY12" s="144">
        <f t="shared" si="28"/>
        <v>1642101</v>
      </c>
      <c r="DA12" s="336">
        <f t="shared" ref="DA12:DB12" si="29">SUM(DA4:DA11)</f>
        <v>939842</v>
      </c>
      <c r="DB12" s="144">
        <f t="shared" si="29"/>
        <v>726544</v>
      </c>
      <c r="DD12" s="341">
        <f>SUM(DD4:DD10)</f>
        <v>4127891</v>
      </c>
      <c r="DE12" s="144">
        <f>SUM(DE4:DE10)</f>
        <v>3837860</v>
      </c>
      <c r="DF12" s="339"/>
      <c r="DG12" s="341">
        <f>SUM(DG4:DG10)</f>
        <v>1386910</v>
      </c>
      <c r="DH12" s="144">
        <f>SUM(DH4:DH10)</f>
        <v>1393647</v>
      </c>
      <c r="DI12" s="339"/>
      <c r="DJ12" s="341">
        <f>SUM(DJ4:DJ10)</f>
        <v>2740981</v>
      </c>
      <c r="DK12" s="144">
        <f>SUM(DK4:DK10)</f>
        <v>2444213</v>
      </c>
      <c r="DL12" s="339"/>
      <c r="DM12" s="341">
        <f>SUM(DM4:DM10)</f>
        <v>1098880</v>
      </c>
      <c r="DN12" s="144">
        <f>SUM(DN4:DN10)</f>
        <v>883714</v>
      </c>
      <c r="DO12" s="339"/>
      <c r="DP12" s="339"/>
      <c r="DQ12" s="341">
        <f>SUM(DQ4:DQ10)</f>
        <v>1642101</v>
      </c>
      <c r="DR12" s="144">
        <f>SUM(DR4:DR10)</f>
        <v>1560499</v>
      </c>
      <c r="DS12" s="339"/>
      <c r="DT12" s="341">
        <f>SUM(DT4:DT10)</f>
        <v>915557</v>
      </c>
      <c r="DU12" s="144">
        <f>SUM(DU4:DU10)</f>
        <v>954016</v>
      </c>
      <c r="DV12" s="339"/>
      <c r="DW12" s="341">
        <f>SUM(DW4:DW10)</f>
        <v>726544</v>
      </c>
      <c r="DX12" s="144">
        <f>SUM(DX4:DX10)</f>
        <v>606483</v>
      </c>
      <c r="DY12" s="339"/>
      <c r="DZ12" s="341">
        <f>SUM(DZ4:DZ10)</f>
        <v>3672005</v>
      </c>
      <c r="EA12" s="144">
        <f>SUM(EA4:EA10)</f>
        <v>3474148</v>
      </c>
      <c r="EC12" s="341">
        <f>SUM(EC4:EC10)</f>
        <v>1347284</v>
      </c>
      <c r="ED12" s="144">
        <f>SUM(ED4:ED10)</f>
        <v>1256787</v>
      </c>
      <c r="EF12" s="341">
        <f>SUM(EF4:EF10)</f>
        <v>2324721</v>
      </c>
      <c r="EG12" s="144">
        <f>SUM(EG4:EG10)</f>
        <v>2217361</v>
      </c>
      <c r="EI12" s="341">
        <f>SUM(EI4:EI10)</f>
        <v>844391</v>
      </c>
      <c r="EJ12" s="144">
        <f>SUM(EJ4:EJ10)</f>
        <v>722119</v>
      </c>
      <c r="EL12" s="341">
        <f>SUM(EL4:EL10)</f>
        <v>1480330</v>
      </c>
      <c r="EM12" s="144">
        <f>SUM(EM4:EM10)</f>
        <v>1495242</v>
      </c>
      <c r="EN12" s="339"/>
      <c r="EO12" s="341">
        <f>SUM(EO4:EO10)</f>
        <v>911630</v>
      </c>
      <c r="EP12" s="144">
        <f>SUM(EP4:EP10)</f>
        <v>859154</v>
      </c>
      <c r="EQ12" s="339"/>
      <c r="ER12" s="341">
        <f>SUM(ER4:ER10)</f>
        <v>568700</v>
      </c>
      <c r="ES12" s="144">
        <f>SUM(ES4:ES10)</f>
        <v>636088</v>
      </c>
      <c r="ET12" s="339"/>
      <c r="EU12" s="341">
        <f>SUM(EU4:EU10)</f>
        <v>3474148</v>
      </c>
      <c r="EV12" s="144">
        <f>SUM(EV4:EV10)</f>
        <v>3816811</v>
      </c>
      <c r="EW12" s="339"/>
      <c r="EX12" s="341">
        <f>SUM(EX4:EX10)</f>
        <v>1256787</v>
      </c>
      <c r="EY12" s="144">
        <f>SUM(EY4:EY10)</f>
        <v>1366994</v>
      </c>
      <c r="EZ12" s="339"/>
      <c r="FA12" s="341">
        <f>SUM(FA4:FA10)</f>
        <v>2217361</v>
      </c>
      <c r="FB12" s="144">
        <f>SUM(FB4:FB10)</f>
        <v>2449817</v>
      </c>
      <c r="FC12" s="339"/>
      <c r="FD12" s="341">
        <f>SUM(FD4:FD10)</f>
        <v>722119</v>
      </c>
      <c r="FE12" s="144">
        <f>SUM(FE4:FE10)</f>
        <v>997687</v>
      </c>
      <c r="FF12" s="339"/>
      <c r="FG12" s="341">
        <f>SUM(FG4:FG10)</f>
        <v>1495242</v>
      </c>
      <c r="FH12" s="144">
        <f>SUM(FH4:FH10)</f>
        <v>1452130</v>
      </c>
      <c r="FI12" s="157"/>
      <c r="FJ12" s="166">
        <f>SUM(FJ4:FJ10)</f>
        <v>859154</v>
      </c>
      <c r="FK12" s="156">
        <f>SUM(FK4:FK10)</f>
        <v>798407</v>
      </c>
      <c r="FL12" s="157"/>
      <c r="FM12" s="166">
        <f>SUM(FM4:FM10)</f>
        <v>636088</v>
      </c>
      <c r="FN12" s="156">
        <f>SUM(FN4:FN10)</f>
        <v>653723</v>
      </c>
      <c r="FO12" s="157"/>
      <c r="FP12" s="166">
        <f>SUM(FP4:FP10)</f>
        <v>3816811</v>
      </c>
      <c r="FQ12" s="156">
        <f>SUM(FQ4:FQ10)</f>
        <v>4175470</v>
      </c>
      <c r="FR12" s="157"/>
      <c r="FS12" s="156">
        <f>SUM(FS4:FS10)</f>
        <v>1366994</v>
      </c>
      <c r="FT12" s="156">
        <f>SUM(FT4:FT10)</f>
        <v>1396598</v>
      </c>
      <c r="FU12" s="157"/>
      <c r="FV12" s="166">
        <f>SUM(FV4:FV10)</f>
        <v>2449817</v>
      </c>
      <c r="FW12" s="156">
        <f>SUM(FW4:FW10)</f>
        <v>2778872</v>
      </c>
      <c r="FX12" s="157"/>
      <c r="FY12" s="156">
        <f>SUM(FY4:FY10)</f>
        <v>997687</v>
      </c>
      <c r="FZ12" s="156">
        <f>SUM(FZ4:FZ10)</f>
        <v>1008145</v>
      </c>
      <c r="GA12" s="157"/>
      <c r="GB12" s="166">
        <f>SUM(GB4:GB10)</f>
        <v>1452130</v>
      </c>
      <c r="GC12" s="156">
        <f>SUM(GC4:GC10)</f>
        <v>1770727</v>
      </c>
      <c r="GD12" s="157"/>
      <c r="GE12" s="156">
        <f>SUM(GE4:GE10)</f>
        <v>798407</v>
      </c>
      <c r="GF12" s="156">
        <f>SUM(GF4:GF10)</f>
        <v>979049</v>
      </c>
      <c r="GG12" s="157"/>
      <c r="GH12" s="166">
        <f>SUM(GH4:GH10)</f>
        <v>653723</v>
      </c>
      <c r="GI12" s="156">
        <f>SUM(GI4:GI10)</f>
        <v>791678</v>
      </c>
      <c r="GJ12" s="157"/>
      <c r="GK12" s="166">
        <f>SUM(GK4:GK10)</f>
        <v>4175470</v>
      </c>
      <c r="GL12" s="156">
        <f>SUM(GL4:GL10)</f>
        <v>3089592</v>
      </c>
      <c r="GM12" s="157"/>
      <c r="GN12" s="166">
        <f>SUM(GN4:GN10)</f>
        <v>1396598</v>
      </c>
      <c r="GO12" s="156">
        <f>SUM(GO4:GO10)</f>
        <v>1079388</v>
      </c>
      <c r="GP12" s="171"/>
      <c r="GQ12" s="156">
        <f>SUM(GQ4:GQ10)</f>
        <v>2778872</v>
      </c>
      <c r="GR12" s="156">
        <f>SUM(GR4:GR10)</f>
        <v>2010204</v>
      </c>
      <c r="GS12" s="157"/>
      <c r="GT12" s="156">
        <f>SUM(GT4:GT10)</f>
        <v>1008145</v>
      </c>
      <c r="GU12" s="156">
        <f>SUM(GU4:GU10)</f>
        <v>760127</v>
      </c>
      <c r="GV12" s="157"/>
      <c r="GW12" s="156">
        <f>SUM(GW4:GW10)</f>
        <v>1770727</v>
      </c>
      <c r="GX12" s="156">
        <f>SUM(GX4:GX10)</f>
        <v>1250077</v>
      </c>
      <c r="GY12" s="157"/>
      <c r="GZ12" s="156">
        <f>SUM(GZ4:GZ10)</f>
        <v>979049</v>
      </c>
      <c r="HA12" s="156">
        <f>SUM(HA4:HA10)</f>
        <v>684767</v>
      </c>
      <c r="HB12" s="157"/>
      <c r="HC12" s="156">
        <f>SUM(HC4:HC10)</f>
        <v>791678</v>
      </c>
      <c r="HD12" s="156">
        <f>SUM(HD4:HD10)</f>
        <v>565310</v>
      </c>
      <c r="HE12" s="157"/>
      <c r="HF12" s="163" t="s">
        <v>24</v>
      </c>
      <c r="HG12" s="156">
        <v>5928</v>
      </c>
      <c r="HH12" s="156">
        <v>21424</v>
      </c>
      <c r="HI12" s="157"/>
      <c r="HJ12" s="156">
        <v>2209</v>
      </c>
      <c r="HK12" s="156">
        <v>15087</v>
      </c>
      <c r="HL12" s="157"/>
      <c r="HM12" s="156">
        <v>801</v>
      </c>
      <c r="HN12" s="156">
        <v>11187</v>
      </c>
      <c r="HO12" s="157"/>
      <c r="HP12" s="167">
        <v>21424</v>
      </c>
      <c r="HQ12" s="167">
        <v>62003</v>
      </c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  <c r="IW12" s="157"/>
      <c r="IX12" s="157"/>
      <c r="IY12" s="157"/>
      <c r="IZ12" s="157"/>
      <c r="JA12" s="157"/>
      <c r="JB12" s="157"/>
      <c r="JC12" s="157"/>
      <c r="JD12" s="157"/>
      <c r="JE12" s="157"/>
      <c r="JF12" s="157"/>
      <c r="JG12" s="157"/>
      <c r="JH12" s="157"/>
      <c r="JI12" s="157"/>
      <c r="JJ12" s="157"/>
      <c r="JK12" s="157"/>
      <c r="JL12" s="157"/>
      <c r="JM12" s="157"/>
      <c r="JN12" s="157"/>
      <c r="JO12" s="157"/>
      <c r="JP12" s="157"/>
      <c r="JQ12" s="157"/>
      <c r="JR12" s="157"/>
      <c r="JS12" s="157"/>
      <c r="JT12" s="157"/>
      <c r="JU12" s="157"/>
      <c r="JV12" s="157"/>
      <c r="JW12" s="157"/>
      <c r="JX12" s="157"/>
      <c r="JY12" s="157"/>
      <c r="JZ12" s="157"/>
      <c r="KA12" s="157"/>
      <c r="KB12" s="157"/>
      <c r="KC12" s="157"/>
      <c r="KD12" s="157"/>
      <c r="KE12" s="157"/>
      <c r="KF12" s="157"/>
      <c r="KG12" s="157"/>
      <c r="KH12" s="157"/>
      <c r="KI12" s="157"/>
      <c r="KJ12" s="157"/>
      <c r="KK12" s="157"/>
      <c r="KL12" s="157"/>
      <c r="KM12" s="157"/>
      <c r="KN12" s="157"/>
      <c r="KO12" s="157"/>
      <c r="KP12" s="157"/>
      <c r="KQ12" s="157"/>
      <c r="KR12" s="157"/>
      <c r="KS12" s="157"/>
      <c r="KT12" s="157"/>
      <c r="KU12" s="157"/>
    </row>
    <row r="13" spans="1:307">
      <c r="DD13" s="368"/>
      <c r="DE13" s="339"/>
      <c r="DF13" s="339"/>
      <c r="DG13" s="368"/>
      <c r="DH13" s="339"/>
      <c r="DI13" s="339"/>
      <c r="DJ13" s="368"/>
      <c r="DK13" s="339"/>
      <c r="DL13" s="339"/>
      <c r="DM13" s="368"/>
      <c r="DN13" s="339"/>
      <c r="DO13" s="339"/>
      <c r="DP13" s="339"/>
      <c r="DQ13" s="368"/>
      <c r="DR13" s="339"/>
      <c r="DS13" s="339"/>
      <c r="DT13" s="368"/>
      <c r="DU13" s="339"/>
      <c r="DV13" s="339"/>
      <c r="DW13" s="368"/>
      <c r="DX13" s="339"/>
      <c r="DY13" s="339"/>
      <c r="EL13" s="368"/>
      <c r="EM13" s="339"/>
      <c r="EN13" s="339"/>
      <c r="EO13" s="368"/>
      <c r="EP13" s="339"/>
      <c r="EQ13" s="339"/>
      <c r="ER13" s="368"/>
      <c r="ES13" s="339"/>
      <c r="ET13" s="339"/>
      <c r="EU13" s="368"/>
      <c r="EV13" s="339"/>
      <c r="EW13" s="339"/>
      <c r="EX13" s="368"/>
      <c r="EY13" s="339"/>
      <c r="EZ13" s="339"/>
      <c r="FA13" s="368"/>
      <c r="FB13" s="339"/>
      <c r="FC13" s="339"/>
      <c r="FD13" s="368"/>
      <c r="FE13" s="339"/>
      <c r="FF13" s="339"/>
      <c r="FG13" s="368"/>
      <c r="FH13" s="339"/>
      <c r="FI13" s="157"/>
      <c r="FJ13" s="172"/>
      <c r="FK13" s="157"/>
      <c r="FL13" s="157"/>
      <c r="FM13" s="172"/>
      <c r="FN13" s="157"/>
      <c r="FO13" s="157"/>
      <c r="FP13" s="172"/>
      <c r="FQ13" s="157"/>
      <c r="FR13" s="157"/>
      <c r="FS13" s="157"/>
      <c r="FT13" s="157"/>
      <c r="FU13" s="157"/>
      <c r="FV13" s="172"/>
      <c r="FW13" s="157"/>
      <c r="FX13" s="157"/>
      <c r="FY13" s="157"/>
      <c r="FZ13" s="157"/>
      <c r="GA13" s="157"/>
      <c r="GB13" s="172"/>
      <c r="GC13" s="157"/>
      <c r="GD13" s="157"/>
      <c r="GE13" s="157"/>
      <c r="GF13" s="157"/>
      <c r="GG13" s="157"/>
      <c r="GH13" s="172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63" t="s">
        <v>27</v>
      </c>
      <c r="HG13" s="156">
        <v>96346</v>
      </c>
      <c r="HH13" s="156">
        <v>82746</v>
      </c>
      <c r="HI13" s="157"/>
      <c r="HJ13" s="156">
        <v>52364</v>
      </c>
      <c r="HK13" s="156">
        <v>25216</v>
      </c>
      <c r="HL13" s="157"/>
      <c r="HM13" s="156">
        <v>40240</v>
      </c>
      <c r="HN13" s="156">
        <v>12650</v>
      </c>
      <c r="HO13" s="157"/>
      <c r="HP13" s="167">
        <v>82746</v>
      </c>
      <c r="HQ13" s="167">
        <v>21554</v>
      </c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157"/>
      <c r="IR13" s="157"/>
      <c r="IS13" s="157"/>
      <c r="IT13" s="157"/>
      <c r="IU13" s="157"/>
      <c r="IV13" s="157"/>
      <c r="IW13" s="157"/>
      <c r="IX13" s="157"/>
      <c r="IY13" s="157"/>
      <c r="IZ13" s="157"/>
      <c r="JA13" s="157"/>
      <c r="JB13" s="157"/>
      <c r="JC13" s="157"/>
      <c r="JD13" s="157"/>
      <c r="JE13" s="157"/>
      <c r="JF13" s="157"/>
      <c r="JG13" s="157"/>
      <c r="JH13" s="157"/>
      <c r="JI13" s="157"/>
      <c r="JJ13" s="157"/>
      <c r="JK13" s="157"/>
      <c r="JL13" s="157"/>
      <c r="JM13" s="157"/>
      <c r="JN13" s="157"/>
      <c r="JO13" s="157"/>
      <c r="JP13" s="157"/>
      <c r="JQ13" s="157"/>
      <c r="JR13" s="157"/>
      <c r="JS13" s="157"/>
      <c r="JT13" s="157"/>
      <c r="JU13" s="157"/>
      <c r="JV13" s="157"/>
      <c r="JW13" s="157"/>
      <c r="JX13" s="157"/>
      <c r="JY13" s="157"/>
      <c r="JZ13" s="157"/>
      <c r="KA13" s="157"/>
      <c r="KB13" s="157"/>
      <c r="KC13" s="157"/>
      <c r="KD13" s="157"/>
      <c r="KE13" s="157"/>
      <c r="KF13" s="157"/>
      <c r="KG13" s="157"/>
      <c r="KH13" s="157"/>
      <c r="KI13" s="157"/>
      <c r="KJ13" s="157"/>
      <c r="KK13" s="157"/>
      <c r="KL13" s="157"/>
      <c r="KM13" s="157"/>
      <c r="KN13" s="157"/>
      <c r="KO13" s="157"/>
      <c r="KP13" s="157"/>
      <c r="KQ13" s="157"/>
      <c r="KR13" s="157"/>
      <c r="KS13" s="157"/>
      <c r="KT13" s="157"/>
      <c r="KU13" s="157"/>
    </row>
    <row r="14" spans="1:307">
      <c r="A14" s="66"/>
      <c r="B14" s="66"/>
      <c r="C14" s="665"/>
      <c r="D14" s="668"/>
      <c r="E14" s="663"/>
      <c r="F14" s="665"/>
      <c r="G14" s="668"/>
      <c r="H14" s="663"/>
      <c r="I14" s="665"/>
      <c r="J14" s="668"/>
      <c r="K14" s="663"/>
      <c r="L14" s="665"/>
      <c r="M14" s="668"/>
      <c r="N14" s="663"/>
      <c r="O14" s="665"/>
      <c r="P14" s="668"/>
      <c r="Q14" s="66"/>
      <c r="R14" s="665"/>
      <c r="S14" s="668"/>
      <c r="T14" s="663"/>
      <c r="U14" s="665"/>
      <c r="V14" s="668"/>
      <c r="W14" s="663"/>
      <c r="X14" s="665"/>
      <c r="Y14" s="668"/>
      <c r="Z14" s="663"/>
      <c r="AA14" s="665"/>
      <c r="AB14" s="668"/>
      <c r="AC14" s="663"/>
      <c r="AD14" s="665"/>
      <c r="AE14" s="668"/>
      <c r="AF14" s="663"/>
      <c r="AG14" s="609"/>
      <c r="AH14" s="629"/>
      <c r="AI14" s="624"/>
      <c r="AJ14" s="609"/>
      <c r="AK14" s="629"/>
      <c r="AL14" s="624"/>
      <c r="AM14" s="609"/>
      <c r="AN14" s="629"/>
      <c r="AO14" s="624"/>
      <c r="AP14" s="609"/>
      <c r="AQ14" s="629"/>
      <c r="AR14" s="624"/>
      <c r="AS14" s="609"/>
      <c r="AT14" s="629"/>
      <c r="AU14" s="624"/>
      <c r="AV14" s="609"/>
      <c r="AW14" s="629"/>
      <c r="AX14" s="624"/>
      <c r="AY14" s="336"/>
      <c r="AZ14" s="156"/>
      <c r="BA14" s="66"/>
      <c r="BB14" s="336"/>
      <c r="BC14" s="156"/>
      <c r="BD14" s="66"/>
      <c r="BE14" s="336"/>
      <c r="BF14" s="156"/>
      <c r="BG14" s="66"/>
      <c r="BH14" s="336"/>
      <c r="BI14" s="156"/>
      <c r="BJ14" s="66"/>
      <c r="BK14" s="336"/>
      <c r="BL14" s="156"/>
      <c r="BM14" s="163"/>
      <c r="BN14" s="336"/>
      <c r="BO14" s="156"/>
      <c r="BP14" s="163"/>
      <c r="BQ14" s="336"/>
      <c r="BR14" s="156"/>
      <c r="BS14" s="163"/>
      <c r="BT14" s="336"/>
      <c r="BU14" s="156"/>
      <c r="BV14" s="163"/>
      <c r="BW14" s="336"/>
      <c r="BX14" s="156"/>
      <c r="BY14" s="163"/>
      <c r="BZ14" s="336"/>
      <c r="CA14" s="156"/>
      <c r="CB14" s="163"/>
      <c r="CC14" s="336"/>
      <c r="CD14" s="156"/>
      <c r="CE14" s="163"/>
      <c r="CF14" s="336"/>
      <c r="CG14" s="156"/>
      <c r="CH14" s="163"/>
      <c r="CI14" s="336"/>
      <c r="CJ14" s="156"/>
      <c r="CK14" s="163"/>
      <c r="CL14" s="336"/>
      <c r="CM14" s="156"/>
      <c r="CN14" s="163"/>
      <c r="CO14" s="336"/>
      <c r="CP14" s="156"/>
      <c r="CQ14" s="163"/>
      <c r="CR14" s="336"/>
      <c r="CS14" s="156"/>
      <c r="CT14" s="163"/>
      <c r="CU14" s="336"/>
      <c r="CV14" s="156"/>
      <c r="CW14" s="163"/>
      <c r="CX14" s="336"/>
      <c r="CY14" s="156"/>
      <c r="CZ14" s="163"/>
      <c r="DA14" s="336"/>
      <c r="DB14" s="156"/>
      <c r="DC14" s="163"/>
      <c r="DD14" s="336"/>
      <c r="DE14" s="156"/>
      <c r="DF14" s="66"/>
      <c r="DG14" s="336"/>
      <c r="DH14" s="156"/>
      <c r="DI14" s="66"/>
      <c r="DJ14" s="336"/>
      <c r="DK14" s="156"/>
      <c r="DL14" s="66"/>
      <c r="DM14" s="336"/>
      <c r="DN14" s="156"/>
      <c r="DO14" s="66"/>
      <c r="DP14" s="66"/>
      <c r="DQ14" s="336"/>
      <c r="DR14" s="156"/>
      <c r="DS14" s="66"/>
      <c r="DT14" s="336"/>
      <c r="DU14" s="156"/>
      <c r="DV14" s="66"/>
      <c r="DW14" s="336"/>
      <c r="DX14" s="156"/>
      <c r="DY14" s="163"/>
      <c r="DZ14" s="341"/>
      <c r="EA14" s="144"/>
      <c r="EB14" s="366"/>
      <c r="EC14" s="341"/>
      <c r="ED14" s="144"/>
      <c r="EE14" s="366"/>
      <c r="EF14" s="341"/>
      <c r="EG14" s="144"/>
      <c r="EH14" s="366"/>
      <c r="EI14" s="341"/>
      <c r="EJ14" s="144"/>
      <c r="EK14" s="366"/>
      <c r="EL14" s="166"/>
      <c r="EM14" s="156"/>
      <c r="EN14" s="163"/>
      <c r="EO14" s="166"/>
      <c r="EP14" s="156"/>
      <c r="EQ14" s="163"/>
      <c r="ER14" s="166"/>
      <c r="ES14" s="156"/>
      <c r="ET14" s="163"/>
      <c r="EU14" s="166"/>
      <c r="EV14" s="156"/>
      <c r="EW14" s="66"/>
      <c r="EX14" s="166"/>
      <c r="EY14" s="156"/>
      <c r="EZ14" s="163"/>
      <c r="FA14" s="166"/>
      <c r="FB14" s="156"/>
      <c r="FC14" s="163"/>
      <c r="FD14" s="166"/>
      <c r="FE14" s="156"/>
      <c r="FF14" s="163"/>
      <c r="FG14" s="166"/>
      <c r="FH14" s="156"/>
      <c r="FI14" s="163"/>
      <c r="FJ14" s="166"/>
      <c r="FK14" s="156"/>
      <c r="FL14" s="163"/>
      <c r="FM14" s="166"/>
      <c r="FN14" s="156"/>
      <c r="FO14" s="163"/>
      <c r="FP14" s="166"/>
      <c r="FQ14" s="156"/>
      <c r="FR14" s="163"/>
      <c r="FS14" s="156"/>
      <c r="FT14" s="156"/>
      <c r="FU14" s="163"/>
      <c r="FV14" s="166"/>
      <c r="FW14" s="156"/>
      <c r="FX14" s="163"/>
      <c r="FY14" s="156"/>
      <c r="FZ14" s="156"/>
      <c r="GA14" s="163"/>
      <c r="GB14" s="166"/>
      <c r="GC14" s="156"/>
      <c r="GD14" s="163"/>
      <c r="GE14" s="156"/>
      <c r="GF14" s="156"/>
      <c r="GG14" s="163"/>
      <c r="GH14" s="166"/>
      <c r="GI14" s="156"/>
      <c r="GJ14" s="163"/>
      <c r="GK14" s="156"/>
      <c r="GL14" s="156"/>
      <c r="GM14" s="163"/>
      <c r="GN14" s="156"/>
      <c r="GO14" s="156"/>
      <c r="GP14" s="163"/>
      <c r="GQ14" s="156"/>
      <c r="GR14" s="156"/>
      <c r="GS14" s="157"/>
      <c r="GT14" s="156"/>
      <c r="GU14" s="156"/>
      <c r="GV14" s="157"/>
      <c r="GW14" s="156"/>
      <c r="GX14" s="156"/>
      <c r="GY14" s="157"/>
      <c r="GZ14" s="156"/>
      <c r="HA14" s="156"/>
      <c r="HB14" s="157"/>
      <c r="HC14" s="156"/>
      <c r="HD14" s="156"/>
      <c r="HE14" s="157"/>
      <c r="HF14" s="173" t="s">
        <v>26</v>
      </c>
      <c r="HG14" s="170">
        <v>8611</v>
      </c>
      <c r="HH14" s="170">
        <v>8093</v>
      </c>
      <c r="HI14" s="157"/>
      <c r="HJ14" s="170">
        <v>4580</v>
      </c>
      <c r="HK14" s="170">
        <v>5531</v>
      </c>
      <c r="HL14" s="157"/>
      <c r="HM14" s="170">
        <v>2977</v>
      </c>
      <c r="HN14" s="170">
        <v>3686</v>
      </c>
      <c r="HO14" s="157"/>
      <c r="HP14" s="174">
        <v>8093</v>
      </c>
      <c r="HQ14" s="174">
        <v>15588</v>
      </c>
      <c r="HR14" s="157"/>
      <c r="HS14" s="157"/>
      <c r="HT14" s="157"/>
      <c r="HU14" s="157"/>
      <c r="HV14" s="157"/>
      <c r="HW14" s="157"/>
      <c r="HX14" s="157"/>
      <c r="HY14" s="157"/>
      <c r="HZ14" s="157"/>
      <c r="IA14" s="157"/>
      <c r="IB14" s="157"/>
      <c r="IC14" s="157"/>
      <c r="ID14" s="157"/>
      <c r="IE14" s="157"/>
      <c r="IF14" s="157"/>
      <c r="IG14" s="157"/>
      <c r="IH14" s="157"/>
      <c r="II14" s="157"/>
      <c r="IJ14" s="157"/>
      <c r="IK14" s="157"/>
      <c r="IL14" s="157"/>
      <c r="IM14" s="157"/>
      <c r="IN14" s="157"/>
      <c r="IO14" s="157"/>
      <c r="IP14" s="157"/>
      <c r="IQ14" s="157"/>
      <c r="IR14" s="157"/>
      <c r="IS14" s="157"/>
      <c r="IT14" s="157"/>
      <c r="IU14" s="157"/>
      <c r="IV14" s="157"/>
      <c r="IW14" s="157"/>
      <c r="IX14" s="157"/>
      <c r="IY14" s="157"/>
      <c r="IZ14" s="157"/>
      <c r="JA14" s="157"/>
      <c r="JB14" s="157"/>
      <c r="JC14" s="157"/>
      <c r="JD14" s="157"/>
      <c r="JE14" s="157"/>
      <c r="JF14" s="157"/>
      <c r="JG14" s="157"/>
      <c r="JH14" s="157"/>
      <c r="JI14" s="157"/>
      <c r="JJ14" s="157"/>
      <c r="JK14" s="157"/>
      <c r="JL14" s="157"/>
      <c r="JM14" s="157"/>
      <c r="JN14" s="157"/>
      <c r="JO14" s="157"/>
      <c r="JP14" s="157"/>
      <c r="JQ14" s="157"/>
      <c r="JR14" s="157"/>
      <c r="JS14" s="157"/>
      <c r="JT14" s="157"/>
      <c r="JU14" s="157"/>
      <c r="JV14" s="157"/>
      <c r="JW14" s="157"/>
      <c r="JX14" s="157"/>
      <c r="JY14" s="157"/>
      <c r="JZ14" s="157"/>
      <c r="KA14" s="157"/>
      <c r="KB14" s="157"/>
      <c r="KC14" s="157"/>
      <c r="KD14" s="157"/>
      <c r="KE14" s="157"/>
      <c r="KF14" s="157"/>
      <c r="KG14" s="157"/>
      <c r="KH14" s="157"/>
      <c r="KI14" s="157"/>
      <c r="KJ14" s="157"/>
      <c r="KK14" s="157"/>
      <c r="KL14" s="157"/>
      <c r="KM14" s="157"/>
      <c r="KN14" s="157"/>
      <c r="KO14" s="157"/>
      <c r="KP14" s="157"/>
      <c r="KQ14" s="157"/>
      <c r="KR14" s="157"/>
      <c r="KS14" s="157"/>
      <c r="KT14" s="157"/>
      <c r="KU14" s="157"/>
    </row>
    <row r="15" spans="1:307">
      <c r="EU15" s="172"/>
      <c r="EV15" s="157"/>
      <c r="EX15" s="172"/>
      <c r="EY15" s="157"/>
      <c r="EZ15" s="157"/>
      <c r="FA15" s="172"/>
      <c r="FB15" s="157"/>
      <c r="FC15" s="157"/>
      <c r="FD15" s="172"/>
      <c r="FE15" s="157"/>
      <c r="FF15" s="157"/>
      <c r="FG15" s="172"/>
      <c r="FH15" s="157"/>
      <c r="FI15" s="157"/>
      <c r="FJ15" s="172"/>
      <c r="FK15" s="157"/>
      <c r="FL15" s="157"/>
      <c r="FM15" s="172"/>
      <c r="FN15" s="157"/>
      <c r="FO15" s="157"/>
      <c r="FP15" s="172"/>
      <c r="FQ15" s="157"/>
      <c r="FR15" s="157"/>
      <c r="FS15" s="157"/>
      <c r="FT15" s="157"/>
      <c r="FU15" s="157"/>
      <c r="FV15" s="172"/>
      <c r="FW15" s="157"/>
      <c r="FX15" s="157"/>
      <c r="FY15" s="157"/>
      <c r="FZ15" s="157"/>
      <c r="GA15" s="157"/>
      <c r="GB15" s="172"/>
      <c r="GC15" s="157"/>
      <c r="GD15" s="157"/>
      <c r="GE15" s="157"/>
      <c r="GF15" s="157"/>
      <c r="GG15" s="157"/>
      <c r="GH15" s="172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6">
        <f>SUM(HG4:HG14)</f>
        <v>3089592</v>
      </c>
      <c r="HH15" s="156">
        <f>SUM(HH4:HH14)</f>
        <v>3779555</v>
      </c>
      <c r="HI15" s="157"/>
      <c r="HJ15" s="156">
        <f>SUM(HJ4:HJ14)</f>
        <v>2010204</v>
      </c>
      <c r="HK15" s="156">
        <f>SUM(HK4:HK14)</f>
        <v>2368393</v>
      </c>
      <c r="HL15" s="157"/>
      <c r="HM15" s="156">
        <f>SUM(HM4:HM14)</f>
        <v>1250077</v>
      </c>
      <c r="HN15" s="156">
        <f>SUM(HN4:HN14)</f>
        <v>1349942</v>
      </c>
      <c r="HO15" s="157"/>
      <c r="HP15" s="156">
        <f>SUM(HP4:HP14)</f>
        <v>3779555</v>
      </c>
      <c r="HQ15" s="156">
        <f>SUM(HQ4:HQ14)</f>
        <v>3471504</v>
      </c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157"/>
      <c r="IR15" s="157"/>
      <c r="IS15" s="157"/>
      <c r="IT15" s="157"/>
      <c r="IU15" s="157"/>
      <c r="IV15" s="157"/>
      <c r="IW15" s="157"/>
      <c r="IX15" s="157"/>
      <c r="IY15" s="157"/>
      <c r="IZ15" s="157"/>
      <c r="JA15" s="157"/>
      <c r="JB15" s="157"/>
      <c r="JC15" s="157"/>
      <c r="JD15" s="157"/>
      <c r="JE15" s="157"/>
      <c r="JF15" s="157"/>
      <c r="JG15" s="157"/>
      <c r="JH15" s="157"/>
      <c r="JI15" s="157"/>
      <c r="JJ15" s="157"/>
      <c r="JK15" s="157"/>
      <c r="JL15" s="157"/>
      <c r="JM15" s="157"/>
      <c r="JN15" s="157"/>
      <c r="JO15" s="157"/>
      <c r="JP15" s="157"/>
      <c r="JQ15" s="157"/>
      <c r="JR15" s="157"/>
      <c r="JS15" s="157"/>
      <c r="JT15" s="157"/>
      <c r="JU15" s="157"/>
      <c r="JV15" s="157"/>
      <c r="JW15" s="157"/>
      <c r="JX15" s="157"/>
      <c r="JY15" s="157"/>
      <c r="JZ15" s="157"/>
      <c r="KA15" s="157"/>
      <c r="KB15" s="157"/>
      <c r="KC15" s="157"/>
      <c r="KD15" s="157"/>
      <c r="KE15" s="157"/>
      <c r="KF15" s="157"/>
      <c r="KG15" s="157"/>
      <c r="KH15" s="157"/>
      <c r="KI15" s="157"/>
      <c r="KJ15" s="157"/>
      <c r="KK15" s="157"/>
      <c r="KL15" s="157"/>
      <c r="KM15" s="157"/>
      <c r="KN15" s="157"/>
      <c r="KO15" s="157"/>
      <c r="KP15" s="157"/>
      <c r="KQ15" s="157"/>
      <c r="KR15" s="157"/>
      <c r="KS15" s="157"/>
      <c r="KT15" s="157"/>
      <c r="KU15" s="157"/>
    </row>
    <row r="16" spans="1:307">
      <c r="C16" s="132"/>
      <c r="D16" s="507"/>
      <c r="F16" s="132"/>
      <c r="G16" s="507"/>
      <c r="I16" s="132"/>
      <c r="J16" s="507"/>
      <c r="L16" s="132"/>
      <c r="M16" s="507"/>
      <c r="O16" s="132"/>
      <c r="P16" s="507"/>
      <c r="R16" s="132"/>
      <c r="S16" s="507"/>
      <c r="U16" s="132"/>
      <c r="V16" s="507"/>
      <c r="X16" s="132"/>
      <c r="Y16" s="507"/>
      <c r="AA16" s="132"/>
      <c r="AB16" s="507"/>
      <c r="AD16" s="132"/>
      <c r="AE16" s="507"/>
      <c r="AG16" s="132"/>
      <c r="AH16" s="507"/>
      <c r="AJ16" s="132"/>
      <c r="AK16" s="507"/>
      <c r="AM16" s="132"/>
      <c r="AN16" s="507"/>
      <c r="AP16" s="132"/>
      <c r="AQ16" s="507"/>
      <c r="AS16" s="132"/>
      <c r="AT16" s="507"/>
      <c r="AV16" s="132"/>
      <c r="AW16" s="507"/>
      <c r="AY16" s="132"/>
      <c r="AZ16" s="507"/>
      <c r="BB16" s="132"/>
      <c r="BC16" s="507"/>
      <c r="BE16" s="132"/>
      <c r="BF16" s="507"/>
      <c r="BH16" s="132"/>
      <c r="BI16" s="507"/>
      <c r="BK16" s="132"/>
      <c r="BL16" s="507"/>
      <c r="BN16" s="132"/>
      <c r="BO16" s="507"/>
      <c r="BQ16" s="132"/>
      <c r="BR16" s="507"/>
      <c r="BT16" s="132"/>
      <c r="BU16" s="507"/>
      <c r="BW16" s="132"/>
      <c r="BX16" s="507"/>
      <c r="BZ16" s="132"/>
      <c r="CA16" s="507"/>
      <c r="CC16" s="132"/>
      <c r="CD16" s="507"/>
      <c r="CF16" s="132"/>
      <c r="CG16" s="507"/>
      <c r="CI16" s="132"/>
      <c r="CJ16" s="507"/>
      <c r="CO16" s="132"/>
      <c r="CP16" s="507"/>
      <c r="CU16" s="132"/>
      <c r="CV16" s="507"/>
      <c r="EU16" s="172"/>
      <c r="EV16" s="157"/>
      <c r="EX16" s="172"/>
      <c r="EY16" s="157"/>
      <c r="EZ16" s="157"/>
      <c r="FA16" s="172"/>
      <c r="FB16" s="157"/>
      <c r="FC16" s="157"/>
      <c r="FD16" s="172"/>
      <c r="FE16" s="157"/>
      <c r="FF16" s="157"/>
      <c r="FG16" s="172"/>
      <c r="FH16" s="157"/>
      <c r="FI16" s="157"/>
      <c r="FJ16" s="172"/>
      <c r="FK16" s="157"/>
      <c r="FL16" s="157"/>
      <c r="FM16" s="172"/>
      <c r="FN16" s="157"/>
      <c r="FO16" s="157"/>
      <c r="FP16" s="172"/>
      <c r="FQ16" s="157"/>
      <c r="FR16" s="157"/>
      <c r="FS16" s="157"/>
      <c r="FT16" s="157"/>
      <c r="FU16" s="157"/>
      <c r="FV16" s="172"/>
      <c r="FW16" s="157"/>
      <c r="FX16" s="157"/>
      <c r="FY16" s="157"/>
      <c r="FZ16" s="157"/>
      <c r="GA16" s="157"/>
      <c r="GB16" s="172"/>
      <c r="GC16" s="157"/>
      <c r="GD16" s="157"/>
      <c r="GE16" s="157"/>
      <c r="GF16" s="157"/>
      <c r="GG16" s="157"/>
      <c r="GH16" s="172"/>
      <c r="GI16" s="157"/>
      <c r="GJ16" s="157"/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157"/>
      <c r="IR16" s="157"/>
      <c r="IS16" s="157"/>
      <c r="IT16" s="157"/>
      <c r="IU16" s="157"/>
      <c r="IV16" s="157"/>
      <c r="IW16" s="157"/>
      <c r="IX16" s="157"/>
      <c r="IY16" s="157"/>
      <c r="IZ16" s="157"/>
      <c r="JA16" s="157"/>
      <c r="JB16" s="157"/>
      <c r="JC16" s="157"/>
      <c r="JD16" s="157"/>
      <c r="JE16" s="157"/>
      <c r="JF16" s="157"/>
      <c r="JG16" s="157"/>
      <c r="JH16" s="157"/>
      <c r="JI16" s="157"/>
      <c r="JJ16" s="157"/>
      <c r="JK16" s="157"/>
      <c r="JL16" s="157"/>
      <c r="JM16" s="157"/>
      <c r="JN16" s="157"/>
      <c r="JO16" s="157"/>
      <c r="JP16" s="157"/>
      <c r="JQ16" s="157"/>
      <c r="JR16" s="157"/>
      <c r="JS16" s="157"/>
      <c r="JT16" s="157"/>
      <c r="JU16" s="157"/>
      <c r="JV16" s="157"/>
      <c r="JW16" s="157"/>
      <c r="JX16" s="157"/>
      <c r="JY16" s="157"/>
      <c r="JZ16" s="157"/>
      <c r="KA16" s="157"/>
      <c r="KB16" s="157"/>
      <c r="KC16" s="157"/>
      <c r="KD16" s="157"/>
      <c r="KE16" s="157"/>
      <c r="KF16" s="157"/>
      <c r="KG16" s="157"/>
      <c r="KH16" s="157"/>
      <c r="KI16" s="157"/>
      <c r="KJ16" s="157"/>
      <c r="KK16" s="157"/>
      <c r="KL16" s="157"/>
      <c r="KM16" s="157"/>
      <c r="KN16" s="157"/>
      <c r="KO16" s="157"/>
      <c r="KP16" s="157"/>
      <c r="KQ16" s="157"/>
      <c r="KR16" s="157"/>
      <c r="KS16" s="157"/>
      <c r="KT16" s="157"/>
      <c r="KU16" s="157"/>
    </row>
    <row r="17" spans="151:307">
      <c r="EU17" s="172"/>
      <c r="EV17" s="157"/>
      <c r="EX17" s="172"/>
      <c r="EY17" s="157"/>
      <c r="EZ17" s="157"/>
      <c r="FA17" s="172"/>
      <c r="FB17" s="157"/>
      <c r="FC17" s="157"/>
      <c r="FD17" s="172"/>
      <c r="FE17" s="157"/>
      <c r="FF17" s="157"/>
      <c r="FG17" s="172"/>
      <c r="FH17" s="157"/>
      <c r="FI17" s="157"/>
      <c r="FJ17" s="172"/>
      <c r="FK17" s="157"/>
      <c r="FL17" s="157"/>
      <c r="FM17" s="172"/>
      <c r="FN17" s="157"/>
      <c r="FO17" s="157"/>
      <c r="FP17" s="172"/>
      <c r="FQ17" s="157"/>
      <c r="FR17" s="157"/>
      <c r="FS17" s="157"/>
      <c r="FT17" s="157"/>
      <c r="FU17" s="157"/>
      <c r="FV17" s="172"/>
      <c r="FW17" s="157"/>
      <c r="FX17" s="157"/>
      <c r="FY17" s="157"/>
      <c r="FZ17" s="157"/>
      <c r="GA17" s="157"/>
      <c r="GB17" s="172"/>
      <c r="GC17" s="157"/>
      <c r="GD17" s="157"/>
      <c r="GE17" s="157"/>
      <c r="GF17" s="157"/>
      <c r="GG17" s="157"/>
      <c r="GH17" s="172"/>
      <c r="GI17" s="157"/>
      <c r="GJ17" s="157"/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9" t="s">
        <v>372</v>
      </c>
      <c r="HG17" s="160" t="s">
        <v>290</v>
      </c>
      <c r="HH17" s="160" t="s">
        <v>291</v>
      </c>
      <c r="HI17" s="157"/>
      <c r="HJ17" s="160" t="s">
        <v>292</v>
      </c>
      <c r="HK17" s="160" t="s">
        <v>293</v>
      </c>
      <c r="HL17" s="157"/>
      <c r="HM17" s="160" t="s">
        <v>294</v>
      </c>
      <c r="HN17" s="160" t="s">
        <v>295</v>
      </c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7"/>
      <c r="IP17" s="157"/>
      <c r="IQ17" s="157"/>
      <c r="IR17" s="157"/>
      <c r="IS17" s="157"/>
      <c r="IT17" s="157"/>
      <c r="IU17" s="157"/>
      <c r="IV17" s="157"/>
      <c r="IW17" s="157"/>
      <c r="IX17" s="157"/>
      <c r="IY17" s="157"/>
      <c r="IZ17" s="157"/>
      <c r="JA17" s="157"/>
      <c r="JB17" s="157"/>
      <c r="JC17" s="157"/>
      <c r="JD17" s="157"/>
      <c r="JE17" s="157"/>
      <c r="JF17" s="157"/>
      <c r="JG17" s="157"/>
      <c r="JH17" s="157"/>
      <c r="JI17" s="157"/>
      <c r="JJ17" s="157"/>
      <c r="JK17" s="157"/>
      <c r="JL17" s="157"/>
      <c r="JM17" s="157"/>
      <c r="JN17" s="157"/>
      <c r="JO17" s="157"/>
      <c r="JP17" s="157"/>
      <c r="JQ17" s="157"/>
      <c r="JR17" s="157"/>
      <c r="JS17" s="157"/>
      <c r="JT17" s="157"/>
      <c r="JU17" s="157"/>
      <c r="JV17" s="157"/>
      <c r="JW17" s="157"/>
      <c r="JX17" s="157"/>
      <c r="JY17" s="157"/>
      <c r="JZ17" s="157"/>
      <c r="KA17" s="157"/>
      <c r="KB17" s="157"/>
      <c r="KC17" s="157"/>
      <c r="KD17" s="157"/>
      <c r="KE17" s="157"/>
      <c r="KF17" s="157"/>
      <c r="KG17" s="157"/>
      <c r="KH17" s="157"/>
      <c r="KI17" s="157"/>
      <c r="KJ17" s="157"/>
      <c r="KK17" s="157"/>
      <c r="KL17" s="157"/>
      <c r="KM17" s="157"/>
      <c r="KN17" s="157"/>
      <c r="KO17" s="157"/>
      <c r="KP17" s="157"/>
      <c r="KQ17" s="157"/>
      <c r="KR17" s="157"/>
      <c r="KS17" s="157"/>
      <c r="KT17" s="157"/>
      <c r="KU17" s="157"/>
    </row>
    <row r="18" spans="151:307">
      <c r="EU18" s="172"/>
      <c r="EV18" s="157"/>
      <c r="EX18" s="172"/>
      <c r="EY18" s="157"/>
      <c r="EZ18" s="157"/>
      <c r="FA18" s="172"/>
      <c r="FB18" s="157"/>
      <c r="FC18" s="157"/>
      <c r="FD18" s="172"/>
      <c r="FE18" s="157"/>
      <c r="FF18" s="157"/>
      <c r="FG18" s="172"/>
      <c r="FH18" s="157"/>
      <c r="FI18" s="157"/>
      <c r="FJ18" s="172"/>
      <c r="FK18" s="157"/>
      <c r="FL18" s="157"/>
      <c r="FM18" s="172"/>
      <c r="FN18" s="157"/>
      <c r="FO18" s="157"/>
      <c r="FP18" s="172"/>
      <c r="FQ18" s="157"/>
      <c r="FR18" s="157"/>
      <c r="FS18" s="157"/>
      <c r="FT18" s="157"/>
      <c r="FU18" s="157"/>
      <c r="FV18" s="172"/>
      <c r="FW18" s="157"/>
      <c r="FX18" s="157"/>
      <c r="FY18" s="157"/>
      <c r="FZ18" s="157"/>
      <c r="GA18" s="157"/>
      <c r="GB18" s="172"/>
      <c r="GC18" s="157"/>
      <c r="GD18" s="157"/>
      <c r="GE18" s="157"/>
      <c r="GF18" s="157"/>
      <c r="GG18" s="157"/>
      <c r="GH18" s="172"/>
      <c r="GI18" s="157"/>
      <c r="GJ18" s="157"/>
      <c r="GK18" s="157"/>
      <c r="GL18" s="157"/>
      <c r="GM18" s="157"/>
      <c r="GN18" s="157"/>
      <c r="GO18" s="157"/>
      <c r="GP18" s="157"/>
      <c r="GQ18" s="157"/>
      <c r="GR18" s="157"/>
      <c r="GS18" s="157"/>
      <c r="GT18" s="157"/>
      <c r="GU18" s="157"/>
      <c r="GV18" s="157"/>
      <c r="GW18" s="157"/>
      <c r="GX18" s="157"/>
      <c r="GY18" s="157"/>
      <c r="GZ18" s="157"/>
      <c r="HA18" s="157"/>
      <c r="HB18" s="157"/>
      <c r="HC18" s="157"/>
      <c r="HD18" s="157"/>
      <c r="HE18" s="157"/>
      <c r="HF18" s="164" t="s">
        <v>20</v>
      </c>
      <c r="HG18" s="162">
        <v>63753</v>
      </c>
      <c r="HH18" s="162">
        <v>83342</v>
      </c>
      <c r="HI18" s="157"/>
      <c r="HJ18" s="162">
        <v>42876</v>
      </c>
      <c r="HK18" s="162">
        <v>57328</v>
      </c>
      <c r="HL18" s="157"/>
      <c r="HM18" s="162">
        <v>38079</v>
      </c>
      <c r="HN18" s="162">
        <v>85570</v>
      </c>
      <c r="HO18" s="157"/>
      <c r="HP18" s="157"/>
      <c r="HQ18" s="157"/>
      <c r="HR18" s="157"/>
      <c r="HS18" s="157"/>
      <c r="HT18" s="157"/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  <c r="II18" s="157"/>
      <c r="IJ18" s="157"/>
      <c r="IK18" s="157"/>
      <c r="IL18" s="157"/>
      <c r="IM18" s="157"/>
      <c r="IN18" s="157"/>
      <c r="IO18" s="157"/>
      <c r="IP18" s="157"/>
      <c r="IQ18" s="157"/>
      <c r="IR18" s="157"/>
      <c r="IS18" s="157"/>
      <c r="IT18" s="157"/>
      <c r="IU18" s="157"/>
      <c r="IV18" s="157"/>
      <c r="IW18" s="157"/>
      <c r="IX18" s="157"/>
      <c r="IY18" s="157"/>
      <c r="IZ18" s="157"/>
      <c r="JA18" s="157"/>
      <c r="JB18" s="157"/>
      <c r="JC18" s="157"/>
      <c r="JD18" s="157"/>
      <c r="JE18" s="157"/>
      <c r="JF18" s="157"/>
      <c r="JG18" s="157"/>
      <c r="JH18" s="157"/>
      <c r="JI18" s="157"/>
      <c r="JJ18" s="157"/>
      <c r="JK18" s="157"/>
      <c r="JL18" s="157"/>
      <c r="JM18" s="157"/>
      <c r="JN18" s="157"/>
      <c r="JO18" s="157"/>
      <c r="JP18" s="157"/>
      <c r="JQ18" s="157"/>
      <c r="JR18" s="157"/>
      <c r="JS18" s="157"/>
      <c r="JT18" s="157"/>
      <c r="JU18" s="157"/>
      <c r="JV18" s="157"/>
      <c r="JW18" s="157"/>
      <c r="JX18" s="157"/>
      <c r="JY18" s="157"/>
      <c r="JZ18" s="157"/>
      <c r="KA18" s="157"/>
      <c r="KB18" s="157"/>
      <c r="KC18" s="157"/>
      <c r="KD18" s="157"/>
      <c r="KE18" s="157"/>
      <c r="KF18" s="157"/>
      <c r="KG18" s="157"/>
      <c r="KH18" s="157"/>
      <c r="KI18" s="157"/>
      <c r="KJ18" s="157"/>
      <c r="KK18" s="157"/>
      <c r="KL18" s="157"/>
      <c r="KM18" s="157"/>
      <c r="KN18" s="157"/>
      <c r="KO18" s="157"/>
      <c r="KP18" s="157"/>
      <c r="KQ18" s="157"/>
      <c r="KR18" s="157"/>
      <c r="KS18" s="157"/>
      <c r="KT18" s="157"/>
      <c r="KU18" s="157"/>
    </row>
    <row r="19" spans="151:307">
      <c r="EU19" s="172"/>
      <c r="EV19" s="157"/>
      <c r="EX19" s="172"/>
      <c r="EY19" s="157"/>
      <c r="EZ19" s="157"/>
      <c r="FA19" s="172"/>
      <c r="FB19" s="157"/>
      <c r="FC19" s="157"/>
      <c r="FD19" s="172"/>
      <c r="FE19" s="157"/>
      <c r="FF19" s="157"/>
      <c r="FG19" s="172"/>
      <c r="FH19" s="157"/>
      <c r="FI19" s="157"/>
      <c r="FJ19" s="172"/>
      <c r="FK19" s="157"/>
      <c r="FL19" s="157"/>
      <c r="FM19" s="172"/>
      <c r="FN19" s="157"/>
      <c r="FO19" s="157"/>
      <c r="FP19" s="172"/>
      <c r="FQ19" s="157"/>
      <c r="FR19" s="157"/>
      <c r="FS19" s="157"/>
      <c r="FT19" s="157"/>
      <c r="FU19" s="157"/>
      <c r="FV19" s="172"/>
      <c r="FW19" s="157"/>
      <c r="FX19" s="157"/>
      <c r="FY19" s="157"/>
      <c r="FZ19" s="157"/>
      <c r="GA19" s="157"/>
      <c r="GB19" s="172"/>
      <c r="GC19" s="157"/>
      <c r="GD19" s="157"/>
      <c r="GE19" s="157"/>
      <c r="GF19" s="157"/>
      <c r="GG19" s="157"/>
      <c r="GH19" s="172"/>
      <c r="GI19" s="157"/>
      <c r="GJ19" s="157"/>
      <c r="GK19" s="157"/>
      <c r="GL19" s="157"/>
      <c r="GM19" s="157"/>
      <c r="GN19" s="157"/>
      <c r="GO19" s="157"/>
      <c r="GP19" s="157"/>
      <c r="GQ19" s="157"/>
      <c r="GR19" s="157"/>
      <c r="GS19" s="157"/>
      <c r="GT19" s="157"/>
      <c r="GU19" s="157"/>
      <c r="GV19" s="157"/>
      <c r="GW19" s="157"/>
      <c r="GX19" s="157"/>
      <c r="GY19" s="157"/>
      <c r="GZ19" s="157"/>
      <c r="HA19" s="157"/>
      <c r="HB19" s="157"/>
      <c r="HC19" s="157"/>
      <c r="HD19" s="157"/>
      <c r="HE19" s="157"/>
      <c r="HF19" s="163" t="s">
        <v>21</v>
      </c>
      <c r="HG19" s="156">
        <v>168682</v>
      </c>
      <c r="HH19" s="156">
        <v>118223</v>
      </c>
      <c r="HI19" s="157"/>
      <c r="HJ19" s="156">
        <v>108610</v>
      </c>
      <c r="HK19" s="156">
        <v>127955</v>
      </c>
      <c r="HL19" s="157"/>
      <c r="HM19" s="156">
        <v>80950</v>
      </c>
      <c r="HN19" s="156">
        <v>163507</v>
      </c>
      <c r="HO19" s="157"/>
      <c r="HP19" s="157"/>
      <c r="HQ19" s="157"/>
      <c r="HR19" s="157"/>
      <c r="HS19" s="157"/>
      <c r="HT19" s="157"/>
      <c r="HU19" s="157"/>
      <c r="HV19" s="157"/>
      <c r="HW19" s="157"/>
      <c r="HX19" s="157"/>
      <c r="HY19" s="157"/>
      <c r="HZ19" s="157"/>
      <c r="IA19" s="157"/>
      <c r="IB19" s="157"/>
      <c r="IC19" s="157"/>
      <c r="ID19" s="157"/>
      <c r="IE19" s="157"/>
      <c r="IF19" s="157"/>
      <c r="IG19" s="157"/>
      <c r="IH19" s="157"/>
      <c r="II19" s="157"/>
      <c r="IJ19" s="157"/>
      <c r="IK19" s="157"/>
      <c r="IL19" s="157"/>
      <c r="IM19" s="157"/>
      <c r="IN19" s="157"/>
      <c r="IO19" s="157"/>
      <c r="IP19" s="157"/>
      <c r="IQ19" s="157"/>
      <c r="IR19" s="157"/>
      <c r="IS19" s="157"/>
      <c r="IT19" s="157"/>
      <c r="IU19" s="157"/>
      <c r="IV19" s="157"/>
      <c r="IW19" s="157"/>
      <c r="IX19" s="157"/>
      <c r="IY19" s="157"/>
      <c r="IZ19" s="157"/>
      <c r="JA19" s="157"/>
      <c r="JB19" s="157"/>
      <c r="JC19" s="157"/>
      <c r="JD19" s="157"/>
      <c r="JE19" s="157"/>
      <c r="JF19" s="157"/>
      <c r="JG19" s="157"/>
      <c r="JH19" s="157"/>
      <c r="JI19" s="157"/>
      <c r="JJ19" s="157"/>
      <c r="JK19" s="157"/>
      <c r="JL19" s="157"/>
      <c r="JM19" s="157"/>
      <c r="JN19" s="157"/>
      <c r="JO19" s="157"/>
      <c r="JP19" s="157"/>
      <c r="JQ19" s="157"/>
      <c r="JR19" s="157"/>
      <c r="JS19" s="157"/>
      <c r="JT19" s="157"/>
      <c r="JU19" s="157"/>
      <c r="JV19" s="157"/>
      <c r="JW19" s="157"/>
      <c r="JX19" s="157"/>
      <c r="JY19" s="157"/>
      <c r="JZ19" s="157"/>
      <c r="KA19" s="157"/>
      <c r="KB19" s="157"/>
      <c r="KC19" s="157"/>
      <c r="KD19" s="157"/>
      <c r="KE19" s="157"/>
      <c r="KF19" s="157"/>
      <c r="KG19" s="157"/>
      <c r="KH19" s="157"/>
      <c r="KI19" s="157"/>
      <c r="KJ19" s="157"/>
      <c r="KK19" s="157"/>
      <c r="KL19" s="157"/>
      <c r="KM19" s="157"/>
      <c r="KN19" s="157"/>
      <c r="KO19" s="157"/>
      <c r="KP19" s="157"/>
      <c r="KQ19" s="157"/>
      <c r="KR19" s="157"/>
      <c r="KS19" s="157"/>
      <c r="KT19" s="157"/>
      <c r="KU19" s="157"/>
    </row>
    <row r="20" spans="151:307">
      <c r="EU20" s="172"/>
      <c r="EV20" s="157"/>
      <c r="EX20" s="172"/>
      <c r="EY20" s="157"/>
      <c r="EZ20" s="157"/>
      <c r="FA20" s="172"/>
      <c r="FB20" s="157"/>
      <c r="FC20" s="157"/>
      <c r="FD20" s="172"/>
      <c r="FE20" s="157"/>
      <c r="FF20" s="157"/>
      <c r="FG20" s="172"/>
      <c r="FH20" s="157"/>
      <c r="FI20" s="157"/>
      <c r="FJ20" s="172"/>
      <c r="FK20" s="157"/>
      <c r="FL20" s="157"/>
      <c r="FM20" s="172"/>
      <c r="FN20" s="157"/>
      <c r="FO20" s="157"/>
      <c r="FP20" s="172"/>
      <c r="FQ20" s="157"/>
      <c r="FR20" s="157"/>
      <c r="FS20" s="157"/>
      <c r="FT20" s="157"/>
      <c r="FU20" s="157"/>
      <c r="FV20" s="172"/>
      <c r="FW20" s="157"/>
      <c r="FX20" s="157"/>
      <c r="FY20" s="157"/>
      <c r="FZ20" s="157"/>
      <c r="GA20" s="157"/>
      <c r="GB20" s="172"/>
      <c r="GC20" s="157"/>
      <c r="GD20" s="157"/>
      <c r="GE20" s="157"/>
      <c r="GF20" s="157"/>
      <c r="GG20" s="157"/>
      <c r="GH20" s="172"/>
      <c r="GI20" s="157"/>
      <c r="GJ20" s="157"/>
      <c r="GK20" s="157"/>
      <c r="GL20" s="157"/>
      <c r="GM20" s="157"/>
      <c r="GN20" s="157"/>
      <c r="GO20" s="157"/>
      <c r="GP20" s="157"/>
      <c r="GQ20" s="157"/>
      <c r="GR20" s="157"/>
      <c r="GS20" s="157"/>
      <c r="GT20" s="157"/>
      <c r="GU20" s="157"/>
      <c r="GV20" s="157"/>
      <c r="GW20" s="157"/>
      <c r="GX20" s="157"/>
      <c r="GY20" s="157"/>
      <c r="GZ20" s="157"/>
      <c r="HA20" s="157"/>
      <c r="HB20" s="157"/>
      <c r="HC20" s="157"/>
      <c r="HD20" s="157"/>
      <c r="HE20" s="157"/>
      <c r="HF20" s="163" t="s">
        <v>23</v>
      </c>
      <c r="HG20" s="156">
        <v>36167</v>
      </c>
      <c r="HH20" s="156">
        <v>168381</v>
      </c>
      <c r="HI20" s="157"/>
      <c r="HJ20" s="156">
        <v>22087</v>
      </c>
      <c r="HK20" s="156">
        <v>190712</v>
      </c>
      <c r="HL20" s="157"/>
      <c r="HM20" s="156">
        <v>14859</v>
      </c>
      <c r="HN20" s="156">
        <v>125306</v>
      </c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  <c r="JO20" s="157"/>
      <c r="JP20" s="157"/>
      <c r="JQ20" s="157"/>
      <c r="JR20" s="157"/>
      <c r="JS20" s="157"/>
      <c r="JT20" s="157"/>
      <c r="JU20" s="157"/>
      <c r="JV20" s="157"/>
      <c r="JW20" s="157"/>
      <c r="JX20" s="157"/>
      <c r="JY20" s="157"/>
      <c r="JZ20" s="157"/>
      <c r="KA20" s="157"/>
      <c r="KB20" s="157"/>
      <c r="KC20" s="157"/>
      <c r="KD20" s="157"/>
      <c r="KE20" s="157"/>
      <c r="KF20" s="157"/>
      <c r="KG20" s="157"/>
      <c r="KH20" s="157"/>
      <c r="KI20" s="157"/>
      <c r="KJ20" s="157"/>
      <c r="KK20" s="157"/>
      <c r="KL20" s="157"/>
      <c r="KM20" s="157"/>
      <c r="KN20" s="157"/>
      <c r="KO20" s="157"/>
      <c r="KP20" s="157"/>
      <c r="KQ20" s="157"/>
      <c r="KR20" s="157"/>
      <c r="KS20" s="157"/>
      <c r="KT20" s="157"/>
      <c r="KU20" s="157"/>
    </row>
    <row r="21" spans="151:307" ht="15.75">
      <c r="EU21" s="172"/>
      <c r="EV21" s="157"/>
      <c r="EX21" s="172"/>
      <c r="EY21" s="157"/>
      <c r="EZ21" s="157"/>
      <c r="FA21" s="172"/>
      <c r="FB21" s="157"/>
      <c r="FC21" s="157"/>
      <c r="FD21" s="172"/>
      <c r="FE21" s="157"/>
      <c r="FF21" s="157"/>
      <c r="FG21" s="172"/>
      <c r="FH21" s="157"/>
      <c r="FI21" s="157"/>
      <c r="FJ21" s="172"/>
      <c r="FK21" s="157"/>
      <c r="FL21" s="157"/>
      <c r="FM21" s="172"/>
      <c r="FN21" s="157"/>
      <c r="FO21" s="157"/>
      <c r="FP21" s="172"/>
      <c r="FQ21" s="157"/>
      <c r="FR21" s="157"/>
      <c r="FS21" s="157"/>
      <c r="FT21" s="157"/>
      <c r="FU21" s="157"/>
      <c r="FV21" s="172"/>
      <c r="FW21" s="157"/>
      <c r="FX21" s="157"/>
      <c r="FY21" s="157"/>
      <c r="FZ21" s="157"/>
      <c r="GA21" s="157"/>
      <c r="GB21" s="172"/>
      <c r="GC21" s="157"/>
      <c r="GD21" s="157"/>
      <c r="GE21" s="157"/>
      <c r="GF21" s="157"/>
      <c r="GG21" s="157"/>
      <c r="GH21" s="172"/>
      <c r="GI21" s="157"/>
      <c r="GJ21" s="157"/>
      <c r="GK21" s="157"/>
      <c r="GL21" s="157"/>
      <c r="GM21" s="157"/>
      <c r="GN21" s="157"/>
      <c r="GO21" s="157"/>
      <c r="GP21" s="157"/>
      <c r="GQ21" s="157"/>
      <c r="GR21" s="157"/>
      <c r="GS21" s="157"/>
      <c r="GT21" s="157"/>
      <c r="GU21" s="157"/>
      <c r="GV21" s="157"/>
      <c r="GW21" s="157"/>
      <c r="GX21" s="157"/>
      <c r="GY21" s="157"/>
      <c r="GZ21" s="157"/>
      <c r="HA21" s="157"/>
      <c r="HB21" s="157"/>
      <c r="HC21" s="157"/>
      <c r="HD21" s="157"/>
      <c r="HE21" s="157"/>
      <c r="HF21" s="168" t="s">
        <v>25</v>
      </c>
      <c r="HG21" s="156">
        <v>110096</v>
      </c>
      <c r="HH21" s="156">
        <v>85910</v>
      </c>
      <c r="HI21" s="157"/>
      <c r="HJ21" s="156">
        <v>127084</v>
      </c>
      <c r="HK21" s="156">
        <v>66159</v>
      </c>
      <c r="HL21" s="157"/>
      <c r="HM21" s="156">
        <v>59329</v>
      </c>
      <c r="HN21" s="156">
        <v>34264</v>
      </c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  <c r="IW21" s="157"/>
      <c r="IX21" s="157"/>
      <c r="IY21" s="157"/>
      <c r="IZ21" s="157"/>
      <c r="JA21" s="157"/>
      <c r="JB21" s="157"/>
      <c r="JC21" s="157"/>
      <c r="JD21" s="157"/>
      <c r="JE21" s="157"/>
      <c r="JF21" s="157"/>
      <c r="JG21" s="157"/>
      <c r="JH21" s="157"/>
      <c r="JI21" s="157"/>
      <c r="JJ21" s="157"/>
      <c r="JK21" s="157"/>
      <c r="JL21" s="157"/>
      <c r="JM21" s="157"/>
      <c r="JN21" s="157"/>
      <c r="JO21" s="157"/>
      <c r="JP21" s="157"/>
      <c r="JQ21" s="157"/>
      <c r="JR21" s="157"/>
      <c r="JS21" s="157"/>
      <c r="JT21" s="157"/>
      <c r="JU21" s="157"/>
      <c r="JV21" s="157"/>
      <c r="JW21" s="157"/>
      <c r="JX21" s="157"/>
      <c r="JY21" s="157"/>
      <c r="JZ21" s="157"/>
      <c r="KA21" s="157"/>
      <c r="KB21" s="157"/>
      <c r="KC21" s="157"/>
      <c r="KD21" s="157"/>
      <c r="KE21" s="157"/>
      <c r="KF21" s="157"/>
      <c r="KG21" s="157"/>
      <c r="KH21" s="157"/>
      <c r="KI21" s="157"/>
      <c r="KJ21" s="157"/>
      <c r="KK21" s="157"/>
      <c r="KL21" s="157"/>
      <c r="KM21" s="157"/>
      <c r="KN21" s="157"/>
      <c r="KO21" s="157"/>
      <c r="KP21" s="157"/>
      <c r="KQ21" s="157"/>
      <c r="KR21" s="157"/>
      <c r="KS21" s="157"/>
      <c r="KT21" s="157"/>
      <c r="KU21" s="157"/>
    </row>
    <row r="22" spans="151:307">
      <c r="EU22" s="172"/>
      <c r="EV22" s="157"/>
      <c r="EX22" s="172"/>
      <c r="EY22" s="157"/>
      <c r="EZ22" s="157"/>
      <c r="FA22" s="172"/>
      <c r="FB22" s="157"/>
      <c r="FC22" s="157"/>
      <c r="FD22" s="172"/>
      <c r="FE22" s="157"/>
      <c r="FF22" s="157"/>
      <c r="FG22" s="172"/>
      <c r="FH22" s="157"/>
      <c r="FI22" s="157"/>
      <c r="FJ22" s="172"/>
      <c r="FK22" s="157"/>
      <c r="FL22" s="157"/>
      <c r="FM22" s="172"/>
      <c r="FN22" s="157"/>
      <c r="FO22" s="157"/>
      <c r="FP22" s="172"/>
      <c r="FQ22" s="157"/>
      <c r="FR22" s="157"/>
      <c r="FS22" s="157"/>
      <c r="FT22" s="157"/>
      <c r="FU22" s="157"/>
      <c r="FV22" s="172"/>
      <c r="FW22" s="157"/>
      <c r="FX22" s="157"/>
      <c r="FY22" s="157"/>
      <c r="FZ22" s="157"/>
      <c r="GA22" s="157"/>
      <c r="GB22" s="172"/>
      <c r="GC22" s="157"/>
      <c r="GD22" s="157"/>
      <c r="GE22" s="157"/>
      <c r="GF22" s="157"/>
      <c r="GG22" s="157"/>
      <c r="GH22" s="172"/>
      <c r="GI22" s="157"/>
      <c r="GJ22" s="157"/>
      <c r="GK22" s="157"/>
      <c r="GL22" s="157"/>
      <c r="GM22" s="157"/>
      <c r="GN22" s="157"/>
      <c r="GO22" s="157"/>
      <c r="GP22" s="157"/>
      <c r="GQ22" s="157"/>
      <c r="GR22" s="157"/>
      <c r="GS22" s="157"/>
      <c r="GT22" s="157"/>
      <c r="GU22" s="157"/>
      <c r="GV22" s="157"/>
      <c r="GW22" s="157"/>
      <c r="GX22" s="157"/>
      <c r="GY22" s="157"/>
      <c r="GZ22" s="157"/>
      <c r="HA22" s="157"/>
      <c r="HB22" s="157"/>
      <c r="HC22" s="157"/>
      <c r="HD22" s="157"/>
      <c r="HE22" s="157"/>
      <c r="HF22" s="163" t="s">
        <v>22</v>
      </c>
      <c r="HG22" s="156">
        <v>648958</v>
      </c>
      <c r="HH22" s="156">
        <v>888877</v>
      </c>
      <c r="HI22" s="157"/>
      <c r="HJ22" s="156">
        <v>444335</v>
      </c>
      <c r="HK22" s="156">
        <v>557986</v>
      </c>
      <c r="HL22" s="157"/>
      <c r="HM22" s="156">
        <v>461646</v>
      </c>
      <c r="HN22" s="156">
        <v>387828</v>
      </c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  <c r="JX22" s="157"/>
      <c r="JY22" s="157"/>
      <c r="JZ22" s="157"/>
      <c r="KA22" s="157"/>
      <c r="KB22" s="157"/>
      <c r="KC22" s="157"/>
      <c r="KD22" s="157"/>
      <c r="KE22" s="157"/>
      <c r="KF22" s="157"/>
      <c r="KG22" s="157"/>
      <c r="KH22" s="157"/>
      <c r="KI22" s="157"/>
      <c r="KJ22" s="157"/>
      <c r="KK22" s="157"/>
      <c r="KL22" s="157"/>
      <c r="KM22" s="157"/>
      <c r="KN22" s="157"/>
      <c r="KO22" s="157"/>
      <c r="KP22" s="157"/>
      <c r="KQ22" s="157"/>
      <c r="KR22" s="157"/>
      <c r="KS22" s="157"/>
      <c r="KT22" s="157"/>
      <c r="KU22" s="157"/>
    </row>
    <row r="23" spans="151:307">
      <c r="EU23" s="172"/>
      <c r="EV23" s="157"/>
      <c r="EX23" s="172"/>
      <c r="EY23" s="157"/>
      <c r="EZ23" s="157"/>
      <c r="FA23" s="172"/>
      <c r="FB23" s="157"/>
      <c r="FC23" s="157"/>
      <c r="FD23" s="172"/>
      <c r="FE23" s="157"/>
      <c r="FF23" s="157"/>
      <c r="FG23" s="172"/>
      <c r="FH23" s="157"/>
      <c r="FI23" s="157"/>
      <c r="FJ23" s="172"/>
      <c r="FK23" s="157"/>
      <c r="FL23" s="157"/>
      <c r="FM23" s="172"/>
      <c r="FN23" s="157"/>
      <c r="FO23" s="157"/>
      <c r="FP23" s="172"/>
      <c r="FQ23" s="157"/>
      <c r="FR23" s="157"/>
      <c r="FS23" s="157"/>
      <c r="FT23" s="157"/>
      <c r="FU23" s="157"/>
      <c r="FV23" s="172"/>
      <c r="FW23" s="157"/>
      <c r="FX23" s="157"/>
      <c r="FY23" s="157"/>
      <c r="FZ23" s="157"/>
      <c r="GA23" s="157"/>
      <c r="GB23" s="172"/>
      <c r="GC23" s="157"/>
      <c r="GD23" s="157"/>
      <c r="GE23" s="157"/>
      <c r="GF23" s="157"/>
      <c r="GG23" s="157"/>
      <c r="GH23" s="172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63" t="s">
        <v>24</v>
      </c>
      <c r="HG23" s="156">
        <v>3719</v>
      </c>
      <c r="HH23" s="156">
        <v>6337</v>
      </c>
      <c r="HI23" s="157"/>
      <c r="HJ23" s="156">
        <v>1408</v>
      </c>
      <c r="HK23" s="156">
        <v>3900</v>
      </c>
      <c r="HL23" s="157"/>
      <c r="HM23" s="156">
        <v>689</v>
      </c>
      <c r="HN23" s="156">
        <v>5851</v>
      </c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</row>
    <row r="24" spans="151:307">
      <c r="EU24" s="172"/>
      <c r="EV24" s="157"/>
      <c r="EX24" s="172"/>
      <c r="EY24" s="157"/>
      <c r="EZ24" s="157"/>
      <c r="FA24" s="172"/>
      <c r="FB24" s="157"/>
      <c r="FC24" s="157"/>
      <c r="FD24" s="172"/>
      <c r="FE24" s="157"/>
      <c r="FF24" s="157"/>
      <c r="FG24" s="172"/>
      <c r="FH24" s="157"/>
      <c r="FI24" s="157"/>
      <c r="FJ24" s="172"/>
      <c r="FK24" s="157"/>
      <c r="FL24" s="157"/>
      <c r="FM24" s="172"/>
      <c r="FN24" s="157"/>
      <c r="FO24" s="157"/>
      <c r="FP24" s="172"/>
      <c r="FQ24" s="157"/>
      <c r="FR24" s="157"/>
      <c r="FS24" s="157"/>
      <c r="FT24" s="157"/>
      <c r="FU24" s="157"/>
      <c r="FV24" s="172"/>
      <c r="FW24" s="157"/>
      <c r="FX24" s="157"/>
      <c r="FY24" s="157"/>
      <c r="FZ24" s="157"/>
      <c r="GA24" s="157"/>
      <c r="GB24" s="172"/>
      <c r="GC24" s="157"/>
      <c r="GD24" s="157"/>
      <c r="GE24" s="157"/>
      <c r="GF24" s="157"/>
      <c r="GG24" s="157"/>
      <c r="GH24" s="172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63" t="s">
        <v>27</v>
      </c>
      <c r="HG24" s="156">
        <v>43982</v>
      </c>
      <c r="HH24" s="156">
        <v>57530</v>
      </c>
      <c r="HI24" s="157"/>
      <c r="HJ24" s="156">
        <v>12124</v>
      </c>
      <c r="HK24" s="156">
        <v>12566</v>
      </c>
      <c r="HL24" s="157"/>
      <c r="HM24" s="156">
        <v>27375</v>
      </c>
      <c r="HN24" s="156">
        <v>5941</v>
      </c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</row>
    <row r="25" spans="151:307">
      <c r="EU25" s="172"/>
      <c r="EV25" s="157"/>
      <c r="EX25" s="172"/>
      <c r="EY25" s="157"/>
      <c r="EZ25" s="157"/>
      <c r="FA25" s="172"/>
      <c r="FB25" s="157"/>
      <c r="FC25" s="157"/>
      <c r="FD25" s="172"/>
      <c r="FE25" s="157"/>
      <c r="FF25" s="157"/>
      <c r="FG25" s="172"/>
      <c r="FH25" s="157"/>
      <c r="FI25" s="157"/>
      <c r="FJ25" s="172"/>
      <c r="FK25" s="157"/>
      <c r="FL25" s="157"/>
      <c r="FM25" s="172"/>
      <c r="FN25" s="157"/>
      <c r="FO25" s="157"/>
      <c r="FP25" s="172"/>
      <c r="FQ25" s="157"/>
      <c r="FR25" s="157"/>
      <c r="FS25" s="157"/>
      <c r="FT25" s="157"/>
      <c r="FU25" s="157"/>
      <c r="FV25" s="172"/>
      <c r="FW25" s="157"/>
      <c r="FX25" s="157"/>
      <c r="FY25" s="157"/>
      <c r="FZ25" s="157"/>
      <c r="GA25" s="157"/>
      <c r="GB25" s="172"/>
      <c r="GC25" s="157"/>
      <c r="GD25" s="157"/>
      <c r="GE25" s="157"/>
      <c r="GF25" s="157"/>
      <c r="GG25" s="157"/>
      <c r="GH25" s="172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73" t="s">
        <v>26</v>
      </c>
      <c r="HG25" s="156">
        <v>4031</v>
      </c>
      <c r="HH25" s="170">
        <v>2562</v>
      </c>
      <c r="HI25" s="157"/>
      <c r="HJ25" s="170">
        <v>1603</v>
      </c>
      <c r="HK25" s="170">
        <v>1845</v>
      </c>
      <c r="HL25" s="157"/>
      <c r="HM25" s="175">
        <v>1840</v>
      </c>
      <c r="HN25" s="175">
        <v>820</v>
      </c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</row>
    <row r="26" spans="151:307">
      <c r="EU26" s="172"/>
      <c r="EV26" s="157"/>
      <c r="EX26" s="172"/>
      <c r="EY26" s="157"/>
      <c r="EZ26" s="157"/>
      <c r="FA26" s="172"/>
      <c r="FB26" s="157"/>
      <c r="FC26" s="157"/>
      <c r="FD26" s="172"/>
      <c r="FE26" s="157"/>
      <c r="FF26" s="157"/>
      <c r="FG26" s="172"/>
      <c r="FH26" s="157"/>
      <c r="FI26" s="157"/>
      <c r="FJ26" s="172"/>
      <c r="FK26" s="157"/>
      <c r="FL26" s="157"/>
      <c r="FM26" s="172"/>
      <c r="FN26" s="157"/>
      <c r="FO26" s="157"/>
      <c r="FP26" s="172"/>
      <c r="FQ26" s="157"/>
      <c r="FR26" s="157"/>
      <c r="FS26" s="157"/>
      <c r="FT26" s="157"/>
      <c r="FU26" s="157"/>
      <c r="FV26" s="172"/>
      <c r="FW26" s="157"/>
      <c r="FX26" s="157"/>
      <c r="FY26" s="157"/>
      <c r="FZ26" s="157"/>
      <c r="GA26" s="157"/>
      <c r="GB26" s="172"/>
      <c r="GC26" s="157"/>
      <c r="GD26" s="157"/>
      <c r="GE26" s="157"/>
      <c r="GF26" s="157"/>
      <c r="GG26" s="157"/>
      <c r="GH26" s="172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9"/>
      <c r="HG26" s="176">
        <f>SUM(HG18:HG25)</f>
        <v>1079388</v>
      </c>
      <c r="HH26" s="176">
        <f>SUM(HH18:HH25)</f>
        <v>1411162</v>
      </c>
      <c r="HI26" s="157"/>
      <c r="HJ26" s="176">
        <f>SUM(HJ18:HJ25)</f>
        <v>760127</v>
      </c>
      <c r="HK26" s="176">
        <f>SUM(HK18:HK25)</f>
        <v>1018451</v>
      </c>
      <c r="HL26" s="157"/>
      <c r="HM26" s="176">
        <f>SUM(HM18:HM25)</f>
        <v>684767</v>
      </c>
      <c r="HN26" s="176">
        <f>SUM(HN18:HN25)</f>
        <v>809087</v>
      </c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</row>
    <row r="27" spans="151:307">
      <c r="EU27" s="172"/>
      <c r="EV27" s="157"/>
      <c r="EX27" s="172"/>
      <c r="EY27" s="157"/>
      <c r="EZ27" s="157"/>
      <c r="FA27" s="172"/>
      <c r="FB27" s="157"/>
      <c r="FC27" s="157"/>
      <c r="FD27" s="172"/>
      <c r="FE27" s="157"/>
      <c r="FF27" s="157"/>
      <c r="FG27" s="172"/>
      <c r="FH27" s="157"/>
      <c r="FI27" s="157"/>
      <c r="FJ27" s="172"/>
      <c r="FK27" s="157"/>
      <c r="FL27" s="157"/>
      <c r="FM27" s="172"/>
      <c r="FN27" s="157"/>
      <c r="FO27" s="157"/>
      <c r="FP27" s="172"/>
      <c r="FQ27" s="157"/>
      <c r="FR27" s="157"/>
      <c r="FS27" s="157"/>
      <c r="FT27" s="157"/>
      <c r="FU27" s="157"/>
      <c r="FV27" s="172"/>
      <c r="FW27" s="157"/>
      <c r="FX27" s="157"/>
      <c r="FY27" s="157"/>
      <c r="FZ27" s="157"/>
      <c r="GA27" s="157"/>
      <c r="GB27" s="172"/>
      <c r="GC27" s="157"/>
      <c r="GD27" s="157"/>
      <c r="GE27" s="157"/>
      <c r="GF27" s="157"/>
      <c r="GG27" s="157"/>
      <c r="GH27" s="172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</row>
    <row r="28" spans="151:307">
      <c r="EU28" s="172"/>
      <c r="EV28" s="157"/>
      <c r="EX28" s="172"/>
      <c r="EY28" s="157"/>
      <c r="EZ28" s="157"/>
      <c r="FA28" s="172"/>
      <c r="FB28" s="157"/>
      <c r="FC28" s="157"/>
      <c r="FD28" s="172"/>
      <c r="FE28" s="157"/>
      <c r="FF28" s="157"/>
      <c r="FG28" s="172"/>
      <c r="FH28" s="157"/>
      <c r="FI28" s="157"/>
      <c r="FJ28" s="172"/>
      <c r="FK28" s="157"/>
      <c r="FL28" s="157"/>
      <c r="FM28" s="172"/>
      <c r="FN28" s="157"/>
      <c r="FO28" s="157"/>
      <c r="FP28" s="172"/>
      <c r="FQ28" s="157"/>
      <c r="FR28" s="157"/>
      <c r="FS28" s="157"/>
      <c r="FT28" s="157"/>
      <c r="FU28" s="157"/>
      <c r="FV28" s="172"/>
      <c r="FW28" s="157"/>
      <c r="FX28" s="157"/>
      <c r="FY28" s="157"/>
      <c r="FZ28" s="157"/>
      <c r="GA28" s="157"/>
      <c r="GB28" s="172"/>
      <c r="GC28" s="157"/>
      <c r="GD28" s="157"/>
      <c r="GE28" s="157"/>
      <c r="GF28" s="157"/>
      <c r="GG28" s="157"/>
      <c r="GH28" s="172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</row>
    <row r="29" spans="151:307">
      <c r="EU29" s="172"/>
      <c r="EV29" s="157"/>
      <c r="EX29" s="172"/>
      <c r="EY29" s="157"/>
      <c r="EZ29" s="157"/>
      <c r="FA29" s="172"/>
      <c r="FB29" s="157"/>
      <c r="FC29" s="157"/>
      <c r="FD29" s="172"/>
      <c r="FE29" s="157"/>
      <c r="FF29" s="157"/>
      <c r="FG29" s="172"/>
      <c r="FH29" s="157"/>
      <c r="FI29" s="157"/>
      <c r="FJ29" s="172"/>
      <c r="FK29" s="157"/>
      <c r="FL29" s="157"/>
      <c r="FM29" s="172"/>
      <c r="FN29" s="157"/>
      <c r="FO29" s="157"/>
      <c r="FP29" s="172"/>
      <c r="FQ29" s="157"/>
      <c r="FR29" s="157"/>
      <c r="FS29" s="157"/>
      <c r="FT29" s="157"/>
      <c r="FU29" s="157"/>
      <c r="FV29" s="172"/>
      <c r="FW29" s="157"/>
      <c r="FX29" s="157"/>
      <c r="FY29" s="157"/>
      <c r="FZ29" s="157"/>
      <c r="GA29" s="157"/>
      <c r="GB29" s="172"/>
      <c r="GC29" s="157"/>
      <c r="GD29" s="157"/>
      <c r="GE29" s="157"/>
      <c r="GF29" s="157"/>
      <c r="GG29" s="157"/>
      <c r="GH29" s="172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</row>
    <row r="30" spans="151:307">
      <c r="EU30" s="172"/>
      <c r="EV30" s="157"/>
      <c r="EX30" s="172"/>
      <c r="EY30" s="157"/>
      <c r="EZ30" s="157"/>
      <c r="FA30" s="172"/>
      <c r="FB30" s="157"/>
      <c r="FC30" s="157"/>
      <c r="FD30" s="172"/>
      <c r="FE30" s="157"/>
      <c r="FF30" s="157"/>
      <c r="FG30" s="172"/>
      <c r="FH30" s="157"/>
      <c r="FI30" s="157"/>
      <c r="FJ30" s="172"/>
      <c r="FK30" s="157"/>
      <c r="FL30" s="157"/>
      <c r="FM30" s="172"/>
      <c r="FN30" s="157"/>
      <c r="FO30" s="157"/>
      <c r="FP30" s="172"/>
      <c r="FQ30" s="157"/>
      <c r="FR30" s="157"/>
      <c r="FS30" s="157"/>
      <c r="FT30" s="157"/>
      <c r="FU30" s="157"/>
      <c r="FV30" s="172"/>
      <c r="FW30" s="157"/>
      <c r="FX30" s="157"/>
      <c r="FY30" s="157"/>
      <c r="FZ30" s="157"/>
      <c r="GA30" s="157"/>
      <c r="GB30" s="172"/>
      <c r="GC30" s="157"/>
      <c r="GD30" s="157"/>
      <c r="GE30" s="157"/>
      <c r="GF30" s="157"/>
      <c r="GG30" s="157"/>
      <c r="GH30" s="172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</row>
    <row r="31" spans="151:307">
      <c r="EU31" s="172"/>
      <c r="EV31" s="157"/>
      <c r="EX31" s="172"/>
      <c r="EY31" s="157"/>
      <c r="EZ31" s="157"/>
      <c r="FA31" s="172"/>
      <c r="FB31" s="157"/>
      <c r="FC31" s="157"/>
      <c r="FD31" s="172"/>
      <c r="FE31" s="157"/>
      <c r="FF31" s="157"/>
      <c r="FG31" s="172"/>
      <c r="FH31" s="157"/>
      <c r="FI31" s="157"/>
      <c r="FJ31" s="172"/>
      <c r="FK31" s="157"/>
      <c r="FL31" s="157"/>
      <c r="FM31" s="172"/>
      <c r="FN31" s="157"/>
      <c r="FO31" s="157"/>
      <c r="FP31" s="172"/>
      <c r="FQ31" s="157"/>
      <c r="FR31" s="157"/>
      <c r="FS31" s="157"/>
      <c r="FT31" s="157"/>
      <c r="FU31" s="157"/>
      <c r="FV31" s="172"/>
      <c r="FW31" s="157"/>
      <c r="FX31" s="157"/>
      <c r="FY31" s="157"/>
      <c r="FZ31" s="157"/>
      <c r="GA31" s="157"/>
      <c r="GB31" s="172"/>
      <c r="GC31" s="157"/>
      <c r="GD31" s="157"/>
      <c r="GE31" s="157"/>
      <c r="GF31" s="157"/>
      <c r="GG31" s="157"/>
      <c r="GH31" s="172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</row>
    <row r="32" spans="151:307">
      <c r="EU32" s="172"/>
      <c r="EV32" s="157"/>
      <c r="EX32" s="172"/>
      <c r="EY32" s="157"/>
      <c r="EZ32" s="157"/>
      <c r="FA32" s="172"/>
      <c r="FB32" s="157"/>
      <c r="FC32" s="157"/>
      <c r="FD32" s="172"/>
      <c r="FE32" s="157"/>
      <c r="FF32" s="157"/>
      <c r="FG32" s="172"/>
      <c r="FH32" s="157"/>
      <c r="FI32" s="157"/>
      <c r="FJ32" s="172"/>
      <c r="FK32" s="157"/>
      <c r="FL32" s="157"/>
      <c r="FM32" s="172"/>
      <c r="FN32" s="157"/>
      <c r="FO32" s="157"/>
      <c r="FP32" s="172"/>
      <c r="FQ32" s="157"/>
      <c r="FR32" s="157"/>
      <c r="FS32" s="157"/>
      <c r="FT32" s="157"/>
      <c r="FU32" s="157"/>
      <c r="FV32" s="172"/>
      <c r="FW32" s="157"/>
      <c r="FX32" s="157"/>
      <c r="FY32" s="157"/>
      <c r="FZ32" s="157"/>
      <c r="GA32" s="157"/>
      <c r="GB32" s="172"/>
      <c r="GC32" s="157"/>
      <c r="GD32" s="157"/>
      <c r="GE32" s="157"/>
      <c r="GF32" s="157"/>
      <c r="GG32" s="157"/>
      <c r="GH32" s="172"/>
      <c r="GI32" s="157"/>
      <c r="GJ32" s="157"/>
      <c r="GK32" s="157"/>
      <c r="GL32" s="157"/>
      <c r="GM32" s="157"/>
      <c r="GN32" s="157"/>
      <c r="GO32" s="157"/>
      <c r="GP32" s="157"/>
      <c r="GQ32" s="157"/>
      <c r="GR32" s="157"/>
      <c r="GS32" s="157"/>
      <c r="GT32" s="157"/>
      <c r="GU32" s="157"/>
      <c r="GV32" s="157"/>
      <c r="GW32" s="157"/>
      <c r="GX32" s="157"/>
      <c r="GY32" s="157"/>
      <c r="GZ32" s="157"/>
      <c r="HA32" s="157"/>
      <c r="HB32" s="157"/>
      <c r="HC32" s="157"/>
      <c r="HD32" s="157"/>
      <c r="HE32" s="157"/>
      <c r="HF32" s="157"/>
      <c r="HG32" s="157"/>
      <c r="HH32" s="157"/>
      <c r="HI32" s="157"/>
      <c r="HJ32" s="157"/>
      <c r="HK32" s="157"/>
      <c r="HL32" s="157"/>
      <c r="HM32" s="157"/>
      <c r="HN32" s="157"/>
      <c r="HO32" s="157"/>
      <c r="HP32" s="157"/>
      <c r="HQ32" s="157"/>
      <c r="HR32" s="157"/>
      <c r="HS32" s="157"/>
      <c r="HT32" s="157"/>
      <c r="HU32" s="157"/>
      <c r="HV32" s="157"/>
      <c r="HW32" s="157"/>
      <c r="HX32" s="157"/>
      <c r="HY32" s="157"/>
      <c r="HZ32" s="157"/>
      <c r="IA32" s="157"/>
      <c r="IB32" s="157"/>
      <c r="IC32" s="157"/>
      <c r="ID32" s="157"/>
      <c r="IE32" s="157"/>
      <c r="IF32" s="157"/>
      <c r="IG32" s="157"/>
      <c r="IH32" s="157"/>
      <c r="II32" s="157"/>
      <c r="IJ32" s="157"/>
      <c r="IK32" s="157"/>
      <c r="IL32" s="157"/>
      <c r="IM32" s="157"/>
      <c r="IN32" s="157"/>
      <c r="IO32" s="157"/>
      <c r="IP32" s="157"/>
      <c r="IQ32" s="157"/>
      <c r="IR32" s="157"/>
      <c r="IS32" s="157"/>
      <c r="IT32" s="157"/>
      <c r="IU32" s="157"/>
      <c r="IV32" s="157"/>
      <c r="IW32" s="157"/>
      <c r="IX32" s="157"/>
      <c r="IY32" s="157"/>
      <c r="IZ32" s="157"/>
      <c r="JA32" s="157"/>
      <c r="JB32" s="157"/>
      <c r="JC32" s="157"/>
      <c r="JD32" s="157"/>
      <c r="JE32" s="157"/>
      <c r="JF32" s="157"/>
      <c r="JG32" s="157"/>
      <c r="JH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57"/>
      <c r="JY32" s="157"/>
      <c r="JZ32" s="157"/>
      <c r="KA32" s="157"/>
      <c r="KB32" s="157"/>
      <c r="KC32" s="157"/>
      <c r="KD32" s="157"/>
      <c r="KE32" s="157"/>
      <c r="KF32" s="157"/>
      <c r="KG32" s="157"/>
      <c r="KH32" s="157"/>
      <c r="KI32" s="157"/>
      <c r="KJ32" s="157"/>
      <c r="KK32" s="157"/>
      <c r="KL32" s="157"/>
      <c r="KM32" s="157"/>
      <c r="KN32" s="157"/>
      <c r="KO32" s="157"/>
      <c r="KP32" s="157"/>
      <c r="KQ32" s="157"/>
      <c r="KR32" s="157"/>
      <c r="KS32" s="157"/>
      <c r="KT32" s="157"/>
      <c r="KU32" s="157"/>
    </row>
  </sheetData>
  <customSheetViews>
    <customSheetView guid="{77EFF5B1-32BE-4080-9902-B97F43099026}"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627AEB6E-B9F1-415E-9A60-881757A50C67}">
      <selection activeCell="A14" sqref="A14"/>
      <pageMargins left="0.7" right="0.7" top="0.75" bottom="0.75" header="0.3" footer="0.3"/>
    </customSheetView>
    <customSheetView guid="{786DE933-524F-40D1-8033-C008687087FC}">
      <pageMargins left="0.7" right="0.7" top="0.75" bottom="0.75" header="0.3" footer="0.3"/>
    </customSheetView>
  </customSheetViews>
  <mergeCells count="70">
    <mergeCell ref="I2:J2"/>
    <mergeCell ref="F2:G2"/>
    <mergeCell ref="C2:D2"/>
    <mergeCell ref="L2:M2"/>
    <mergeCell ref="O2:P2"/>
    <mergeCell ref="R2:S2"/>
    <mergeCell ref="U2:V2"/>
    <mergeCell ref="X2:Y2"/>
    <mergeCell ref="BK2:BL2"/>
    <mergeCell ref="AY2:AZ2"/>
    <mergeCell ref="BB2:BC2"/>
    <mergeCell ref="BE2:BF2"/>
    <mergeCell ref="BH2:BI2"/>
    <mergeCell ref="AP2:AQ2"/>
    <mergeCell ref="AS2:AT2"/>
    <mergeCell ref="AV2:AW2"/>
    <mergeCell ref="AA2:AB2"/>
    <mergeCell ref="AD2:AE2"/>
    <mergeCell ref="AJ2:AK2"/>
    <mergeCell ref="AG2:AH2"/>
    <mergeCell ref="AM2:AN2"/>
    <mergeCell ref="BN2:BO2"/>
    <mergeCell ref="BQ2:BR2"/>
    <mergeCell ref="BT2:BU2"/>
    <mergeCell ref="BW2:BX2"/>
    <mergeCell ref="CI2:CJ2"/>
    <mergeCell ref="DT2:DU2"/>
    <mergeCell ref="DQ2:DR2"/>
    <mergeCell ref="DD2:DE2"/>
    <mergeCell ref="DG2:DH2"/>
    <mergeCell ref="CX2:CY2"/>
    <mergeCell ref="DA2:DB2"/>
    <mergeCell ref="DJ2:DK2"/>
    <mergeCell ref="DM2:DN2"/>
    <mergeCell ref="CU2:CV2"/>
    <mergeCell ref="BZ2:CA2"/>
    <mergeCell ref="CC2:CD2"/>
    <mergeCell ref="CF2:CG2"/>
    <mergeCell ref="CL2:CM2"/>
    <mergeCell ref="CO2:CP2"/>
    <mergeCell ref="CR2:CS2"/>
    <mergeCell ref="FD2:FE2"/>
    <mergeCell ref="DW2:DX2"/>
    <mergeCell ref="DZ2:EA2"/>
    <mergeCell ref="EC2:ED2"/>
    <mergeCell ref="EI2:EJ2"/>
    <mergeCell ref="EX2:EY2"/>
    <mergeCell ref="EU2:EV2"/>
    <mergeCell ref="GB2:GC2"/>
    <mergeCell ref="GH2:GI2"/>
    <mergeCell ref="FG2:FH2"/>
    <mergeCell ref="FM2:FN2"/>
    <mergeCell ref="FS2:FT2"/>
    <mergeCell ref="FY2:FZ2"/>
    <mergeCell ref="HC2:HD2"/>
    <mergeCell ref="EF2:EG2"/>
    <mergeCell ref="GW2:GX2"/>
    <mergeCell ref="EL2:EM2"/>
    <mergeCell ref="ER2:ES2"/>
    <mergeCell ref="EO2:EP2"/>
    <mergeCell ref="GN2:GO2"/>
    <mergeCell ref="GQ2:GR2"/>
    <mergeCell ref="FJ2:FK2"/>
    <mergeCell ref="FP2:FQ2"/>
    <mergeCell ref="FV2:FW2"/>
    <mergeCell ref="GE2:GF2"/>
    <mergeCell ref="GT2:GU2"/>
    <mergeCell ref="GZ2:HA2"/>
    <mergeCell ref="FA2:FB2"/>
    <mergeCell ref="GK2:GL2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O38"/>
  <sheetViews>
    <sheetView workbookViewId="0">
      <selection activeCell="A2" sqref="A2"/>
    </sheetView>
  </sheetViews>
  <sheetFormatPr defaultColWidth="9.28515625" defaultRowHeight="15"/>
  <cols>
    <col min="1" max="1" width="90.28515625" style="419" customWidth="1"/>
    <col min="2" max="2" width="8.28515625" style="419" customWidth="1"/>
    <col min="3" max="3" width="23.85546875" style="419" customWidth="1"/>
    <col min="4" max="4" width="24.85546875" style="419" customWidth="1"/>
    <col min="5" max="5" width="9.28515625" style="419"/>
    <col min="6" max="10" width="9.28515625" style="10"/>
    <col min="11" max="16384" width="9.28515625" style="419"/>
  </cols>
  <sheetData>
    <row r="1" spans="1:15" ht="20.25">
      <c r="A1" s="254" t="s">
        <v>203</v>
      </c>
      <c r="B1" s="86"/>
      <c r="C1" s="86"/>
      <c r="D1" s="86"/>
    </row>
    <row r="2" spans="1:15" ht="100.5" customHeight="1">
      <c r="A2" s="255" t="s">
        <v>662</v>
      </c>
      <c r="B2" s="73" t="s">
        <v>204</v>
      </c>
      <c r="C2" s="68" t="s">
        <v>925</v>
      </c>
      <c r="D2" s="68" t="s">
        <v>904</v>
      </c>
    </row>
    <row r="3" spans="1:15">
      <c r="A3" s="76"/>
      <c r="B3" s="82"/>
      <c r="C3" s="82"/>
      <c r="D3" s="82"/>
    </row>
    <row r="4" spans="1:15">
      <c r="A4" s="123" t="s">
        <v>48</v>
      </c>
      <c r="B4" s="499">
        <v>12</v>
      </c>
      <c r="C4" s="414">
        <v>9297</v>
      </c>
      <c r="D4" s="414">
        <v>8484</v>
      </c>
      <c r="G4"/>
      <c r="H4"/>
      <c r="I4"/>
      <c r="J4"/>
      <c r="K4"/>
      <c r="L4" s="526"/>
      <c r="M4" s="526"/>
      <c r="N4" s="526"/>
      <c r="O4" s="526"/>
    </row>
    <row r="5" spans="1:15">
      <c r="A5" s="123" t="s">
        <v>729</v>
      </c>
      <c r="B5" s="499">
        <v>13</v>
      </c>
      <c r="C5" s="414">
        <v>335</v>
      </c>
      <c r="D5" s="414">
        <v>1178</v>
      </c>
      <c r="G5"/>
      <c r="H5"/>
      <c r="I5"/>
      <c r="J5"/>
      <c r="K5"/>
      <c r="L5" s="526"/>
      <c r="M5" s="526"/>
      <c r="N5" s="526"/>
      <c r="O5" s="526"/>
    </row>
    <row r="6" spans="1:15">
      <c r="A6" s="268" t="s">
        <v>606</v>
      </c>
      <c r="B6" s="499">
        <v>14</v>
      </c>
      <c r="C6" s="414">
        <v>-7531</v>
      </c>
      <c r="D6" s="414">
        <v>-7971</v>
      </c>
      <c r="E6" s="457"/>
      <c r="G6"/>
      <c r="H6"/>
      <c r="I6"/>
      <c r="J6"/>
      <c r="K6"/>
      <c r="L6" s="526"/>
      <c r="M6" s="526"/>
      <c r="N6" s="526"/>
      <c r="O6" s="526"/>
    </row>
    <row r="7" spans="1:15">
      <c r="A7" s="259" t="s">
        <v>865</v>
      </c>
      <c r="B7" s="500"/>
      <c r="C7" s="260">
        <v>2101</v>
      </c>
      <c r="D7" s="260">
        <v>1691</v>
      </c>
      <c r="G7"/>
      <c r="H7"/>
      <c r="I7"/>
      <c r="J7"/>
      <c r="K7"/>
      <c r="L7" s="526"/>
      <c r="M7" s="526"/>
      <c r="N7" s="526"/>
      <c r="O7" s="526"/>
    </row>
    <row r="8" spans="1:15">
      <c r="A8" s="123" t="s">
        <v>205</v>
      </c>
      <c r="B8" s="499">
        <v>14</v>
      </c>
      <c r="C8" s="414">
        <v>-198</v>
      </c>
      <c r="D8" s="414">
        <v>-183</v>
      </c>
      <c r="G8"/>
      <c r="H8"/>
      <c r="I8"/>
      <c r="J8"/>
      <c r="K8"/>
      <c r="L8" s="526"/>
      <c r="M8" s="526"/>
      <c r="N8" s="526"/>
      <c r="O8" s="526"/>
    </row>
    <row r="9" spans="1:15">
      <c r="A9" s="123" t="s">
        <v>206</v>
      </c>
      <c r="B9" s="499">
        <v>14</v>
      </c>
      <c r="C9" s="414">
        <v>-182</v>
      </c>
      <c r="D9" s="414">
        <v>-197</v>
      </c>
      <c r="G9"/>
      <c r="H9"/>
      <c r="I9"/>
      <c r="J9"/>
      <c r="K9"/>
      <c r="L9" s="526"/>
      <c r="M9" s="526"/>
      <c r="N9" s="526"/>
      <c r="O9" s="526"/>
    </row>
    <row r="10" spans="1:15">
      <c r="A10" s="123" t="s">
        <v>535</v>
      </c>
      <c r="B10" s="499"/>
      <c r="C10" s="414">
        <v>30</v>
      </c>
      <c r="D10" s="414">
        <v>5</v>
      </c>
      <c r="G10"/>
      <c r="H10"/>
      <c r="I10"/>
      <c r="J10"/>
      <c r="K10"/>
      <c r="L10" s="526"/>
      <c r="M10" s="526"/>
      <c r="N10" s="526"/>
      <c r="O10" s="526"/>
    </row>
    <row r="11" spans="1:15">
      <c r="A11" s="123" t="s">
        <v>741</v>
      </c>
      <c r="B11" s="499">
        <v>22</v>
      </c>
      <c r="C11" s="414">
        <v>7</v>
      </c>
      <c r="D11" s="414">
        <v>14</v>
      </c>
      <c r="G11"/>
      <c r="H11"/>
      <c r="I11"/>
      <c r="J11"/>
      <c r="K11"/>
      <c r="L11" s="526"/>
      <c r="M11" s="526"/>
      <c r="N11" s="526"/>
      <c r="O11" s="526"/>
    </row>
    <row r="12" spans="1:15">
      <c r="A12" s="259" t="s">
        <v>866</v>
      </c>
      <c r="B12" s="500"/>
      <c r="C12" s="260">
        <v>1758</v>
      </c>
      <c r="D12" s="260">
        <v>1330</v>
      </c>
      <c r="G12"/>
      <c r="H12"/>
      <c r="I12"/>
      <c r="J12"/>
      <c r="K12"/>
      <c r="L12" s="526"/>
      <c r="M12" s="526"/>
      <c r="N12" s="526"/>
      <c r="O12" s="526"/>
    </row>
    <row r="13" spans="1:15">
      <c r="A13" s="124" t="s">
        <v>208</v>
      </c>
      <c r="B13" s="499">
        <v>15</v>
      </c>
      <c r="C13" s="414">
        <v>-165</v>
      </c>
      <c r="D13" s="414">
        <v>-186</v>
      </c>
      <c r="G13"/>
      <c r="H13"/>
      <c r="I13"/>
      <c r="J13"/>
      <c r="K13"/>
      <c r="L13" s="526"/>
      <c r="M13" s="526"/>
      <c r="N13" s="526"/>
      <c r="O13" s="526"/>
    </row>
    <row r="14" spans="1:15">
      <c r="A14" s="124" t="s">
        <v>536</v>
      </c>
      <c r="B14" s="499">
        <v>15</v>
      </c>
      <c r="C14" s="414">
        <v>-144</v>
      </c>
      <c r="D14" s="414">
        <v>-70</v>
      </c>
      <c r="G14"/>
      <c r="H14"/>
      <c r="I14"/>
      <c r="J14"/>
      <c r="K14"/>
      <c r="L14" s="526"/>
      <c r="M14" s="526"/>
      <c r="N14" s="526"/>
      <c r="O14" s="526"/>
    </row>
    <row r="15" spans="1:15">
      <c r="A15" s="122" t="s">
        <v>867</v>
      </c>
      <c r="B15" s="499"/>
      <c r="C15" s="415">
        <v>1449</v>
      </c>
      <c r="D15" s="415">
        <v>1074</v>
      </c>
      <c r="G15"/>
      <c r="H15"/>
      <c r="I15"/>
      <c r="J15"/>
      <c r="K15"/>
      <c r="L15" s="526"/>
      <c r="M15" s="526"/>
      <c r="N15" s="526"/>
      <c r="O15" s="526"/>
    </row>
    <row r="16" spans="1:15">
      <c r="A16" s="123" t="s">
        <v>209</v>
      </c>
      <c r="B16" s="499">
        <v>16</v>
      </c>
      <c r="C16" s="414">
        <v>-318</v>
      </c>
      <c r="D16" s="414">
        <v>-266</v>
      </c>
      <c r="G16"/>
      <c r="H16"/>
      <c r="I16"/>
      <c r="J16"/>
      <c r="K16"/>
      <c r="L16" s="526"/>
      <c r="M16" s="526"/>
      <c r="N16" s="526"/>
      <c r="O16" s="526"/>
    </row>
    <row r="17" spans="1:15" ht="15" customHeight="1">
      <c r="A17" s="259" t="s">
        <v>880</v>
      </c>
      <c r="B17" s="500"/>
      <c r="C17" s="260">
        <v>1131</v>
      </c>
      <c r="D17" s="260">
        <v>808</v>
      </c>
      <c r="G17"/>
      <c r="H17"/>
      <c r="I17"/>
      <c r="J17"/>
      <c r="K17"/>
      <c r="L17" s="526"/>
      <c r="M17" s="526"/>
      <c r="N17" s="526"/>
      <c r="O17" s="526"/>
    </row>
    <row r="18" spans="1:15" ht="16.5" customHeight="1">
      <c r="A18" s="122"/>
      <c r="B18" s="501"/>
      <c r="C18" s="501"/>
      <c r="D18" s="501"/>
      <c r="G18"/>
      <c r="H18"/>
      <c r="I18"/>
      <c r="J18"/>
      <c r="K18"/>
      <c r="L18" s="526"/>
      <c r="M18" s="526"/>
      <c r="N18" s="526"/>
      <c r="O18" s="526"/>
    </row>
    <row r="19" spans="1:15">
      <c r="A19" s="125" t="s">
        <v>210</v>
      </c>
      <c r="B19" s="502" t="s">
        <v>906</v>
      </c>
      <c r="C19" s="414">
        <v>-32</v>
      </c>
      <c r="D19" s="414">
        <v>-7</v>
      </c>
      <c r="G19"/>
      <c r="H19"/>
      <c r="I19"/>
      <c r="J19"/>
      <c r="K19"/>
      <c r="L19" s="526"/>
      <c r="M19" s="526"/>
      <c r="N19" s="526"/>
      <c r="O19" s="526"/>
    </row>
    <row r="20" spans="1:15" ht="25.5">
      <c r="A20" s="125" t="s">
        <v>211</v>
      </c>
      <c r="B20" s="499"/>
      <c r="C20" s="414">
        <v>0</v>
      </c>
      <c r="D20" s="414">
        <v>6</v>
      </c>
      <c r="G20"/>
      <c r="H20"/>
      <c r="I20"/>
      <c r="J20"/>
      <c r="K20"/>
      <c r="L20" s="526"/>
      <c r="M20" s="526"/>
      <c r="N20" s="526"/>
      <c r="O20" s="526"/>
    </row>
    <row r="21" spans="1:15">
      <c r="A21" s="125" t="s">
        <v>212</v>
      </c>
      <c r="B21" s="499">
        <v>16</v>
      </c>
      <c r="C21" s="414">
        <v>6</v>
      </c>
      <c r="D21" s="414">
        <v>1</v>
      </c>
      <c r="G21"/>
      <c r="H21"/>
      <c r="I21"/>
      <c r="J21"/>
      <c r="K21"/>
      <c r="L21" s="526"/>
      <c r="M21" s="526"/>
      <c r="N21" s="526"/>
      <c r="O21" s="526"/>
    </row>
    <row r="22" spans="1:15" ht="25.5">
      <c r="A22" s="126" t="s">
        <v>840</v>
      </c>
      <c r="B22" s="499"/>
      <c r="C22" s="415">
        <v>-26</v>
      </c>
      <c r="D22" s="415">
        <v>0</v>
      </c>
      <c r="G22"/>
      <c r="H22"/>
      <c r="I22"/>
      <c r="J22"/>
      <c r="K22"/>
      <c r="L22" s="526"/>
      <c r="M22" s="526"/>
      <c r="N22" s="526"/>
      <c r="O22" s="526"/>
    </row>
    <row r="23" spans="1:15" ht="6" customHeight="1">
      <c r="A23" s="126"/>
      <c r="B23" s="499"/>
      <c r="C23" s="415"/>
      <c r="D23" s="415"/>
      <c r="G23"/>
      <c r="H23"/>
      <c r="I23"/>
      <c r="J23"/>
      <c r="K23"/>
      <c r="L23" s="526"/>
      <c r="M23" s="526"/>
      <c r="N23" s="526"/>
      <c r="O23" s="526"/>
    </row>
    <row r="24" spans="1:15">
      <c r="A24" s="125" t="s">
        <v>905</v>
      </c>
      <c r="B24" s="499">
        <v>35</v>
      </c>
      <c r="C24" s="414">
        <v>4</v>
      </c>
      <c r="D24" s="414">
        <v>4</v>
      </c>
      <c r="G24"/>
      <c r="H24"/>
      <c r="I24"/>
      <c r="J24"/>
      <c r="K24"/>
      <c r="L24" s="526"/>
      <c r="M24" s="526"/>
      <c r="N24" s="526"/>
      <c r="O24" s="526"/>
    </row>
    <row r="25" spans="1:15">
      <c r="A25" s="125" t="s">
        <v>212</v>
      </c>
      <c r="B25" s="499">
        <v>16</v>
      </c>
      <c r="C25" s="414">
        <v>-1</v>
      </c>
      <c r="D25" s="414">
        <v>-1</v>
      </c>
      <c r="G25"/>
      <c r="H25"/>
      <c r="I25"/>
      <c r="J25"/>
      <c r="K25"/>
      <c r="L25" s="526"/>
      <c r="M25" s="526"/>
      <c r="N25" s="526"/>
      <c r="O25" s="526"/>
    </row>
    <row r="26" spans="1:15" ht="36.75" customHeight="1">
      <c r="A26" s="126" t="s">
        <v>841</v>
      </c>
      <c r="B26" s="499"/>
      <c r="C26" s="414">
        <v>3</v>
      </c>
      <c r="D26" s="414">
        <v>3</v>
      </c>
      <c r="G26"/>
      <c r="H26"/>
      <c r="I26"/>
      <c r="J26"/>
      <c r="K26"/>
      <c r="L26" s="526"/>
      <c r="M26" s="526"/>
      <c r="N26" s="526"/>
      <c r="O26" s="526"/>
    </row>
    <row r="27" spans="1:15" ht="8.1" customHeight="1">
      <c r="A27" s="127"/>
      <c r="B27" s="499"/>
      <c r="C27" s="414"/>
      <c r="D27" s="414"/>
      <c r="G27"/>
      <c r="H27"/>
      <c r="I27"/>
      <c r="J27"/>
      <c r="K27"/>
      <c r="L27" s="526"/>
      <c r="M27" s="526"/>
      <c r="N27" s="526"/>
      <c r="O27" s="526"/>
    </row>
    <row r="28" spans="1:15">
      <c r="A28" s="122" t="s">
        <v>213</v>
      </c>
      <c r="B28" s="138"/>
      <c r="C28" s="415">
        <v>-23</v>
      </c>
      <c r="D28" s="415">
        <v>3</v>
      </c>
      <c r="G28"/>
      <c r="H28"/>
      <c r="I28"/>
      <c r="J28"/>
      <c r="K28"/>
      <c r="L28" s="526"/>
      <c r="M28" s="526"/>
      <c r="N28" s="526"/>
      <c r="O28" s="526"/>
    </row>
    <row r="29" spans="1:15">
      <c r="A29" s="259" t="s">
        <v>214</v>
      </c>
      <c r="B29" s="261"/>
      <c r="C29" s="260">
        <v>1108</v>
      </c>
      <c r="D29" s="260">
        <v>811</v>
      </c>
      <c r="G29"/>
      <c r="H29"/>
      <c r="I29"/>
      <c r="J29"/>
      <c r="K29"/>
      <c r="L29" s="526"/>
      <c r="M29" s="526"/>
      <c r="N29" s="526"/>
      <c r="O29" s="526"/>
    </row>
    <row r="30" spans="1:15">
      <c r="A30" s="122" t="s">
        <v>881</v>
      </c>
      <c r="B30" s="128"/>
      <c r="C30" s="414"/>
      <c r="D30" s="414"/>
      <c r="G30"/>
      <c r="H30"/>
      <c r="I30"/>
      <c r="J30"/>
      <c r="K30"/>
      <c r="L30" s="526"/>
      <c r="M30" s="526"/>
      <c r="N30" s="526"/>
      <c r="O30" s="526"/>
    </row>
    <row r="31" spans="1:15">
      <c r="A31" s="125" t="s">
        <v>215</v>
      </c>
      <c r="B31" s="128"/>
      <c r="C31" s="414">
        <v>1130</v>
      </c>
      <c r="D31" s="414">
        <v>808</v>
      </c>
      <c r="G31"/>
      <c r="H31"/>
      <c r="I31"/>
      <c r="J31"/>
      <c r="K31"/>
      <c r="L31" s="526"/>
      <c r="M31" s="526"/>
      <c r="N31" s="526"/>
      <c r="O31" s="526"/>
    </row>
    <row r="32" spans="1:15">
      <c r="A32" s="125" t="s">
        <v>216</v>
      </c>
      <c r="B32" s="128"/>
      <c r="C32" s="414">
        <v>1</v>
      </c>
      <c r="D32" s="414">
        <v>0</v>
      </c>
      <c r="G32"/>
      <c r="H32"/>
      <c r="I32"/>
      <c r="J32"/>
      <c r="K32"/>
      <c r="L32" s="526"/>
      <c r="M32" s="526"/>
      <c r="N32" s="526"/>
      <c r="O32" s="526"/>
    </row>
    <row r="33" spans="1:15">
      <c r="A33" s="122" t="s">
        <v>217</v>
      </c>
      <c r="B33" s="136"/>
      <c r="C33" s="416"/>
      <c r="D33" s="416"/>
      <c r="G33"/>
      <c r="H33"/>
      <c r="I33"/>
      <c r="J33"/>
      <c r="K33"/>
      <c r="L33" s="526"/>
      <c r="M33" s="526"/>
      <c r="N33" s="526"/>
      <c r="O33" s="526"/>
    </row>
    <row r="34" spans="1:15">
      <c r="A34" s="125" t="s">
        <v>215</v>
      </c>
      <c r="B34" s="128"/>
      <c r="C34" s="414">
        <v>1107</v>
      </c>
      <c r="D34" s="414">
        <v>811</v>
      </c>
      <c r="G34"/>
      <c r="H34"/>
      <c r="I34"/>
      <c r="J34"/>
      <c r="K34"/>
      <c r="L34" s="526"/>
      <c r="M34" s="526"/>
      <c r="N34" s="526"/>
      <c r="O34" s="526"/>
    </row>
    <row r="35" spans="1:15">
      <c r="A35" s="125" t="s">
        <v>216</v>
      </c>
      <c r="B35" s="128"/>
      <c r="C35" s="414">
        <v>1</v>
      </c>
      <c r="D35" s="414">
        <v>0</v>
      </c>
      <c r="G35"/>
      <c r="H35"/>
      <c r="I35"/>
      <c r="J35"/>
      <c r="K35"/>
      <c r="L35" s="526"/>
      <c r="M35" s="526"/>
      <c r="N35" s="526"/>
      <c r="O35" s="526"/>
    </row>
    <row r="36" spans="1:15" ht="7.5" customHeight="1">
      <c r="A36" s="123"/>
      <c r="B36" s="128"/>
      <c r="C36" s="417"/>
      <c r="D36" s="417"/>
      <c r="G36"/>
      <c r="H36"/>
      <c r="I36"/>
      <c r="J36"/>
      <c r="K36"/>
      <c r="L36" s="526"/>
      <c r="M36" s="526"/>
      <c r="N36" s="526"/>
      <c r="O36" s="526"/>
    </row>
    <row r="37" spans="1:15" ht="22.5" customHeight="1">
      <c r="A37" s="669" t="s">
        <v>882</v>
      </c>
      <c r="B37" s="678"/>
      <c r="C37" s="675">
        <v>0.64477497973446563</v>
      </c>
      <c r="D37" s="675">
        <v>0.46104264037650283</v>
      </c>
      <c r="G37"/>
      <c r="H37"/>
      <c r="I37"/>
      <c r="J37"/>
      <c r="K37"/>
      <c r="L37" s="526"/>
      <c r="M37" s="526"/>
      <c r="N37" s="526"/>
      <c r="O37" s="526"/>
    </row>
    <row r="38" spans="1:15">
      <c r="A38" s="122"/>
      <c r="B38" s="128"/>
      <c r="C38" s="128"/>
      <c r="D38" s="128"/>
      <c r="G38"/>
      <c r="H38"/>
      <c r="I38"/>
      <c r="J38"/>
      <c r="K38"/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fitToPage="1"/>
  </sheetPr>
  <dimension ref="A1:M77"/>
  <sheetViews>
    <sheetView topLeftCell="A48" workbookViewId="0">
      <selection activeCell="A76" sqref="A76"/>
    </sheetView>
  </sheetViews>
  <sheetFormatPr defaultColWidth="9.28515625" defaultRowHeight="15"/>
  <cols>
    <col min="1" max="1" width="89.28515625" style="419" customWidth="1"/>
    <col min="2" max="2" width="9.28515625" style="419"/>
    <col min="3" max="4" width="19.7109375" style="419" customWidth="1"/>
    <col min="5" max="5" width="23.42578125" style="10" customWidth="1"/>
    <col min="6" max="6" width="9.7109375" style="10" customWidth="1"/>
    <col min="7" max="8" width="9.28515625" style="10"/>
    <col min="9" max="9" width="13.42578125" style="10" customWidth="1"/>
    <col min="10" max="12" width="9.28515625" style="10"/>
    <col min="13" max="16384" width="9.28515625" style="419"/>
  </cols>
  <sheetData>
    <row r="1" spans="1:13" ht="20.25">
      <c r="A1" s="418" t="s">
        <v>29</v>
      </c>
      <c r="B1" s="436"/>
      <c r="C1" s="436"/>
      <c r="D1" s="104"/>
    </row>
    <row r="2" spans="1:13" ht="83.1" customHeight="1">
      <c r="A2" s="412" t="s">
        <v>662</v>
      </c>
      <c r="B2" s="264" t="s">
        <v>218</v>
      </c>
      <c r="C2" s="264" t="s">
        <v>918</v>
      </c>
      <c r="D2" s="264" t="s">
        <v>883</v>
      </c>
    </row>
    <row r="3" spans="1:13">
      <c r="A3" s="437" t="s">
        <v>219</v>
      </c>
      <c r="B3" s="438"/>
      <c r="C3" s="438"/>
      <c r="D3" s="439"/>
    </row>
    <row r="4" spans="1:13">
      <c r="A4" s="76" t="s">
        <v>220</v>
      </c>
      <c r="B4" s="410"/>
      <c r="C4" s="440"/>
      <c r="D4" s="406"/>
    </row>
    <row r="5" spans="1:13">
      <c r="A5" s="123" t="s">
        <v>221</v>
      </c>
      <c r="B5" s="676">
        <v>17</v>
      </c>
      <c r="C5" s="427">
        <v>33764</v>
      </c>
      <c r="D5" s="406">
        <v>33247</v>
      </c>
      <c r="M5" s="10"/>
    </row>
    <row r="6" spans="1:13">
      <c r="A6" s="123" t="s">
        <v>526</v>
      </c>
      <c r="B6" s="676">
        <v>18</v>
      </c>
      <c r="C6" s="427">
        <v>2499</v>
      </c>
      <c r="D6" s="406">
        <v>2495</v>
      </c>
      <c r="M6" s="10"/>
    </row>
    <row r="7" spans="1:13">
      <c r="A7" s="123" t="s">
        <v>222</v>
      </c>
      <c r="B7" s="676">
        <v>19</v>
      </c>
      <c r="C7" s="427">
        <v>26</v>
      </c>
      <c r="D7" s="406">
        <v>26</v>
      </c>
      <c r="M7" s="10"/>
    </row>
    <row r="8" spans="1:13" ht="28.5">
      <c r="A8" s="123" t="s">
        <v>757</v>
      </c>
      <c r="B8" s="677" t="s">
        <v>907</v>
      </c>
      <c r="C8" s="427">
        <v>5</v>
      </c>
      <c r="D8" s="406">
        <v>38</v>
      </c>
      <c r="M8" s="10"/>
    </row>
    <row r="9" spans="1:13">
      <c r="A9" s="123" t="s">
        <v>223</v>
      </c>
      <c r="B9" s="676">
        <v>21</v>
      </c>
      <c r="C9" s="427">
        <v>745</v>
      </c>
      <c r="D9" s="406">
        <v>768</v>
      </c>
      <c r="M9" s="10"/>
    </row>
    <row r="10" spans="1:13">
      <c r="A10" s="137" t="s">
        <v>224</v>
      </c>
      <c r="B10" s="676">
        <v>22</v>
      </c>
      <c r="C10" s="427">
        <v>197</v>
      </c>
      <c r="D10" s="406">
        <v>190</v>
      </c>
      <c r="M10" s="10"/>
    </row>
    <row r="11" spans="1:13">
      <c r="A11" s="137" t="s">
        <v>225</v>
      </c>
      <c r="B11" s="676">
        <v>23</v>
      </c>
      <c r="C11" s="427">
        <v>491</v>
      </c>
      <c r="D11" s="406">
        <v>479</v>
      </c>
      <c r="M11" s="10"/>
    </row>
    <row r="12" spans="1:13">
      <c r="A12" s="137" t="s">
        <v>387</v>
      </c>
      <c r="B12" s="676">
        <v>24</v>
      </c>
      <c r="C12" s="427">
        <v>93</v>
      </c>
      <c r="D12" s="406">
        <v>90</v>
      </c>
      <c r="M12" s="10"/>
    </row>
    <row r="13" spans="1:13">
      <c r="A13" s="123" t="s">
        <v>226</v>
      </c>
      <c r="B13" s="676">
        <v>25</v>
      </c>
      <c r="C13" s="427">
        <v>258</v>
      </c>
      <c r="D13" s="406">
        <v>259</v>
      </c>
      <c r="M13" s="10"/>
    </row>
    <row r="14" spans="1:13">
      <c r="A14" s="123" t="s">
        <v>227</v>
      </c>
      <c r="B14" s="677" t="s">
        <v>908</v>
      </c>
      <c r="C14" s="427">
        <v>632</v>
      </c>
      <c r="D14" s="406">
        <v>333</v>
      </c>
      <c r="M14" s="10"/>
    </row>
    <row r="15" spans="1:13">
      <c r="A15" s="123" t="s">
        <v>228</v>
      </c>
      <c r="B15" s="677" t="s">
        <v>909</v>
      </c>
      <c r="C15" s="427">
        <v>156</v>
      </c>
      <c r="D15" s="406">
        <v>144</v>
      </c>
      <c r="M15" s="10"/>
    </row>
    <row r="16" spans="1:13">
      <c r="A16" s="441"/>
      <c r="B16" s="442"/>
      <c r="C16" s="443">
        <v>38866</v>
      </c>
      <c r="D16" s="444">
        <v>38069</v>
      </c>
      <c r="M16" s="10"/>
    </row>
    <row r="17" spans="1:13">
      <c r="A17" s="76" t="s">
        <v>229</v>
      </c>
      <c r="B17" s="410"/>
      <c r="C17" s="427"/>
      <c r="D17" s="406"/>
      <c r="M17" s="10"/>
    </row>
    <row r="18" spans="1:13" ht="28.5">
      <c r="A18" s="123" t="s">
        <v>756</v>
      </c>
      <c r="B18" s="410" t="s">
        <v>910</v>
      </c>
      <c r="C18" s="427">
        <v>1352</v>
      </c>
      <c r="D18" s="406">
        <v>360</v>
      </c>
      <c r="M18" s="10"/>
    </row>
    <row r="19" spans="1:13">
      <c r="A19" s="123" t="s">
        <v>230</v>
      </c>
      <c r="B19" s="410">
        <v>28</v>
      </c>
      <c r="C19" s="427">
        <v>823</v>
      </c>
      <c r="D19" s="406">
        <v>937</v>
      </c>
      <c r="M19" s="10"/>
    </row>
    <row r="20" spans="1:13">
      <c r="A20" s="123" t="s">
        <v>231</v>
      </c>
      <c r="B20" s="410">
        <v>29</v>
      </c>
      <c r="C20" s="427">
        <v>4297</v>
      </c>
      <c r="D20" s="406">
        <v>4089</v>
      </c>
      <c r="M20" s="10"/>
    </row>
    <row r="21" spans="1:13">
      <c r="A21" s="123" t="s">
        <v>511</v>
      </c>
      <c r="B21" s="410">
        <v>42</v>
      </c>
      <c r="C21" s="427">
        <v>149</v>
      </c>
      <c r="D21" s="406">
        <v>130</v>
      </c>
      <c r="M21" s="10"/>
    </row>
    <row r="22" spans="1:13">
      <c r="A22" s="123" t="s">
        <v>512</v>
      </c>
      <c r="B22" s="410">
        <v>30</v>
      </c>
      <c r="C22" s="427">
        <v>665</v>
      </c>
      <c r="D22" s="406">
        <v>459</v>
      </c>
      <c r="M22" s="10"/>
    </row>
    <row r="23" spans="1:13">
      <c r="A23" s="137" t="s">
        <v>387</v>
      </c>
      <c r="B23" s="410">
        <v>29</v>
      </c>
      <c r="C23" s="427">
        <v>177</v>
      </c>
      <c r="D23" s="406">
        <v>159</v>
      </c>
      <c r="M23" s="10"/>
    </row>
    <row r="24" spans="1:13">
      <c r="A24" s="393" t="s">
        <v>561</v>
      </c>
      <c r="B24" s="407">
        <v>24</v>
      </c>
      <c r="C24" s="427">
        <v>360</v>
      </c>
      <c r="D24" s="406">
        <v>743</v>
      </c>
      <c r="M24" s="10"/>
    </row>
    <row r="25" spans="1:13">
      <c r="A25" s="123" t="s">
        <v>227</v>
      </c>
      <c r="B25" s="407">
        <v>25</v>
      </c>
      <c r="C25" s="427">
        <v>248</v>
      </c>
      <c r="D25" s="406">
        <v>167</v>
      </c>
      <c r="M25" s="10"/>
    </row>
    <row r="26" spans="1:13">
      <c r="A26" s="123" t="s">
        <v>233</v>
      </c>
      <c r="B26" s="407" t="s">
        <v>911</v>
      </c>
      <c r="C26" s="427">
        <v>1730</v>
      </c>
      <c r="D26" s="406">
        <v>596</v>
      </c>
      <c r="M26" s="10"/>
    </row>
    <row r="27" spans="1:13">
      <c r="A27" s="123" t="s">
        <v>607</v>
      </c>
      <c r="B27" s="407">
        <v>31</v>
      </c>
      <c r="C27" s="427">
        <v>5</v>
      </c>
      <c r="D27" s="406">
        <v>5</v>
      </c>
      <c r="M27" s="10"/>
    </row>
    <row r="28" spans="1:13">
      <c r="A28" s="441"/>
      <c r="B28" s="442"/>
      <c r="C28" s="443">
        <v>9806</v>
      </c>
      <c r="D28" s="444">
        <v>7645</v>
      </c>
      <c r="M28" s="10"/>
    </row>
    <row r="29" spans="1:13">
      <c r="A29" s="268"/>
      <c r="B29" s="410"/>
      <c r="C29" s="427"/>
      <c r="D29" s="406"/>
      <c r="M29" s="10"/>
    </row>
    <row r="30" spans="1:13">
      <c r="A30" s="445" t="s">
        <v>234</v>
      </c>
      <c r="B30" s="446"/>
      <c r="C30" s="447">
        <v>48672</v>
      </c>
      <c r="D30" s="447">
        <v>45714</v>
      </c>
      <c r="M30" s="10"/>
    </row>
    <row r="31" spans="1:13" ht="40.5" customHeight="1">
      <c r="A31" s="268"/>
      <c r="B31" s="410"/>
      <c r="C31" s="82"/>
      <c r="D31" s="406"/>
      <c r="M31" s="10"/>
    </row>
    <row r="32" spans="1:13">
      <c r="A32" s="437" t="s">
        <v>235</v>
      </c>
      <c r="B32" s="442"/>
      <c r="C32" s="438"/>
      <c r="D32" s="444"/>
      <c r="M32" s="10"/>
    </row>
    <row r="33" spans="1:13" ht="25.5">
      <c r="A33" s="76" t="s">
        <v>236</v>
      </c>
      <c r="B33" s="410"/>
      <c r="C33" s="440"/>
      <c r="D33" s="406"/>
      <c r="F33"/>
      <c r="G33"/>
      <c r="H33"/>
      <c r="I33"/>
      <c r="J33"/>
      <c r="M33" s="10"/>
    </row>
    <row r="34" spans="1:13">
      <c r="A34" s="123" t="s">
        <v>237</v>
      </c>
      <c r="B34" s="410" t="s">
        <v>912</v>
      </c>
      <c r="C34" s="427">
        <v>8763</v>
      </c>
      <c r="D34" s="406">
        <v>8763</v>
      </c>
      <c r="F34"/>
      <c r="G34"/>
      <c r="H34"/>
      <c r="I34"/>
      <c r="J34"/>
      <c r="M34" s="10"/>
    </row>
    <row r="35" spans="1:13">
      <c r="A35" s="123" t="s">
        <v>238</v>
      </c>
      <c r="B35" s="410" t="s">
        <v>913</v>
      </c>
      <c r="C35" s="427">
        <v>2438</v>
      </c>
      <c r="D35" s="406">
        <v>2438</v>
      </c>
      <c r="F35"/>
      <c r="G35"/>
      <c r="H35"/>
      <c r="I35"/>
      <c r="J35"/>
      <c r="M35" s="10"/>
    </row>
    <row r="36" spans="1:13" ht="25.5">
      <c r="A36" s="123" t="s">
        <v>239</v>
      </c>
      <c r="B36" s="410" t="s">
        <v>906</v>
      </c>
      <c r="C36" s="425">
        <v>113</v>
      </c>
      <c r="D36" s="426">
        <v>139</v>
      </c>
      <c r="F36"/>
      <c r="G36"/>
      <c r="H36"/>
      <c r="I36"/>
      <c r="J36"/>
      <c r="M36" s="10"/>
    </row>
    <row r="37" spans="1:13" ht="25.5">
      <c r="A37" s="123" t="s">
        <v>211</v>
      </c>
      <c r="B37" s="410"/>
      <c r="C37" s="425">
        <v>-3</v>
      </c>
      <c r="D37" s="426">
        <v>-3</v>
      </c>
      <c r="F37"/>
      <c r="G37"/>
      <c r="H37"/>
      <c r="I37"/>
      <c r="J37"/>
      <c r="M37" s="10"/>
    </row>
    <row r="38" spans="1:13">
      <c r="A38" s="448" t="s">
        <v>240</v>
      </c>
      <c r="B38" s="449" t="s">
        <v>914</v>
      </c>
      <c r="C38" s="450">
        <v>7509</v>
      </c>
      <c r="D38" s="451">
        <v>6376</v>
      </c>
      <c r="F38"/>
      <c r="G38"/>
      <c r="H38"/>
      <c r="I38"/>
      <c r="J38"/>
      <c r="M38" s="10"/>
    </row>
    <row r="39" spans="1:13">
      <c r="A39" s="268"/>
      <c r="B39" s="410"/>
      <c r="C39" s="429">
        <v>18820</v>
      </c>
      <c r="D39" s="424">
        <v>17713</v>
      </c>
      <c r="F39"/>
      <c r="G39"/>
      <c r="H39"/>
      <c r="I39"/>
      <c r="J39"/>
      <c r="M39" s="10"/>
    </row>
    <row r="40" spans="1:13" ht="2.25" customHeight="1">
      <c r="A40" s="268"/>
      <c r="B40" s="410"/>
      <c r="C40" s="432"/>
      <c r="D40" s="433"/>
      <c r="F40"/>
      <c r="G40"/>
      <c r="H40"/>
      <c r="I40"/>
      <c r="J40"/>
      <c r="M40" s="10"/>
    </row>
    <row r="41" spans="1:13">
      <c r="A41" s="76" t="s">
        <v>241</v>
      </c>
      <c r="B41" s="590" t="s">
        <v>915</v>
      </c>
      <c r="C41" s="432">
        <v>42</v>
      </c>
      <c r="D41" s="433">
        <v>41</v>
      </c>
      <c r="F41"/>
      <c r="G41"/>
      <c r="H41"/>
      <c r="I41"/>
      <c r="J41"/>
      <c r="M41" s="10"/>
    </row>
    <row r="42" spans="1:13" ht="0.75" customHeight="1">
      <c r="A42" s="268"/>
      <c r="B42" s="410"/>
      <c r="C42" s="432"/>
      <c r="D42" s="433"/>
      <c r="F42"/>
      <c r="G42"/>
      <c r="H42"/>
      <c r="I42"/>
      <c r="J42"/>
      <c r="M42" s="10"/>
    </row>
    <row r="43" spans="1:13">
      <c r="A43" s="437" t="s">
        <v>242</v>
      </c>
      <c r="B43" s="442"/>
      <c r="C43" s="443">
        <v>18862</v>
      </c>
      <c r="D43" s="444">
        <v>17754</v>
      </c>
      <c r="F43"/>
      <c r="G43"/>
      <c r="H43"/>
      <c r="I43"/>
      <c r="J43"/>
      <c r="M43" s="10"/>
    </row>
    <row r="44" spans="1:13" ht="18.75" customHeight="1">
      <c r="A44" s="441"/>
      <c r="B44" s="442"/>
      <c r="C44" s="452"/>
      <c r="D44" s="453"/>
      <c r="F44"/>
      <c r="G44"/>
      <c r="H44"/>
      <c r="I44"/>
      <c r="J44"/>
      <c r="M44" s="10"/>
    </row>
    <row r="45" spans="1:13">
      <c r="A45" s="76" t="s">
        <v>243</v>
      </c>
      <c r="B45" s="410"/>
      <c r="C45" s="440"/>
      <c r="D45" s="406"/>
      <c r="F45"/>
      <c r="G45"/>
      <c r="H45"/>
      <c r="I45"/>
      <c r="J45"/>
      <c r="M45" s="10"/>
    </row>
    <row r="46" spans="1:13">
      <c r="A46" s="123" t="s">
        <v>244</v>
      </c>
      <c r="B46" s="411">
        <v>34</v>
      </c>
      <c r="C46" s="427">
        <v>13265</v>
      </c>
      <c r="D46" s="406">
        <v>12475</v>
      </c>
      <c r="F46"/>
      <c r="G46"/>
      <c r="H46"/>
      <c r="I46"/>
      <c r="J46"/>
      <c r="M46" s="10"/>
    </row>
    <row r="47" spans="1:13">
      <c r="A47" s="123" t="s">
        <v>245</v>
      </c>
      <c r="B47" s="411">
        <v>35</v>
      </c>
      <c r="C47" s="427">
        <v>716</v>
      </c>
      <c r="D47" s="406">
        <v>701</v>
      </c>
      <c r="F47"/>
      <c r="G47"/>
      <c r="H47"/>
      <c r="I47"/>
      <c r="J47"/>
      <c r="M47" s="10"/>
    </row>
    <row r="48" spans="1:13" ht="25.5">
      <c r="A48" s="123" t="s">
        <v>793</v>
      </c>
      <c r="B48" s="411">
        <v>36</v>
      </c>
      <c r="C48" s="427">
        <v>217</v>
      </c>
      <c r="D48" s="406">
        <v>216</v>
      </c>
      <c r="F48"/>
      <c r="G48"/>
      <c r="H48"/>
      <c r="I48"/>
      <c r="J48"/>
      <c r="M48" s="10"/>
    </row>
    <row r="49" spans="1:13">
      <c r="A49" s="123" t="s">
        <v>246</v>
      </c>
      <c r="B49" s="411">
        <v>39</v>
      </c>
      <c r="C49" s="427">
        <v>767</v>
      </c>
      <c r="D49" s="406">
        <v>612</v>
      </c>
      <c r="F49"/>
      <c r="G49"/>
      <c r="H49"/>
      <c r="I49"/>
      <c r="J49"/>
      <c r="M49" s="10"/>
    </row>
    <row r="50" spans="1:13">
      <c r="A50" s="123" t="s">
        <v>247</v>
      </c>
      <c r="B50" s="411" t="s">
        <v>909</v>
      </c>
      <c r="C50" s="427">
        <v>1374</v>
      </c>
      <c r="D50" s="406">
        <v>1592</v>
      </c>
      <c r="F50"/>
      <c r="G50"/>
      <c r="H50"/>
      <c r="I50"/>
      <c r="J50"/>
      <c r="M50" s="10"/>
    </row>
    <row r="51" spans="1:13">
      <c r="A51" s="137" t="s">
        <v>387</v>
      </c>
      <c r="B51" s="411" t="s">
        <v>916</v>
      </c>
      <c r="C51" s="427">
        <v>151</v>
      </c>
      <c r="D51" s="406">
        <v>64</v>
      </c>
      <c r="F51"/>
      <c r="G51"/>
      <c r="H51"/>
      <c r="I51"/>
      <c r="J51"/>
      <c r="M51" s="10"/>
    </row>
    <row r="52" spans="1:13">
      <c r="A52" s="137" t="s">
        <v>822</v>
      </c>
      <c r="B52" s="411" t="s">
        <v>917</v>
      </c>
      <c r="C52" s="427">
        <v>94</v>
      </c>
      <c r="D52" s="406">
        <v>106</v>
      </c>
      <c r="F52"/>
      <c r="G52"/>
      <c r="H52"/>
      <c r="I52"/>
      <c r="J52"/>
      <c r="M52" s="10"/>
    </row>
    <row r="53" spans="1:13">
      <c r="A53" s="123" t="s">
        <v>249</v>
      </c>
      <c r="B53" s="411">
        <v>44</v>
      </c>
      <c r="C53" s="427">
        <v>36</v>
      </c>
      <c r="D53" s="406">
        <v>40</v>
      </c>
      <c r="F53"/>
      <c r="G53"/>
      <c r="H53"/>
      <c r="I53"/>
      <c r="J53"/>
      <c r="M53" s="10"/>
    </row>
    <row r="54" spans="1:13">
      <c r="A54" s="409" t="s">
        <v>253</v>
      </c>
      <c r="B54" s="449">
        <v>45</v>
      </c>
      <c r="C54" s="638">
        <v>1</v>
      </c>
      <c r="D54" s="451">
        <v>1</v>
      </c>
      <c r="F54"/>
      <c r="G54"/>
      <c r="H54"/>
      <c r="I54"/>
      <c r="J54"/>
      <c r="M54" s="10"/>
    </row>
    <row r="55" spans="1:13">
      <c r="A55" s="268"/>
      <c r="B55" s="411"/>
      <c r="C55" s="432">
        <v>16621</v>
      </c>
      <c r="D55" s="433">
        <v>15807</v>
      </c>
      <c r="F55"/>
      <c r="G55"/>
      <c r="H55"/>
      <c r="I55"/>
      <c r="J55"/>
      <c r="M55" s="10"/>
    </row>
    <row r="56" spans="1:13">
      <c r="A56" s="76" t="s">
        <v>250</v>
      </c>
      <c r="B56" s="411"/>
      <c r="C56" s="413"/>
      <c r="D56" s="406"/>
      <c r="F56"/>
      <c r="G56"/>
      <c r="H56"/>
      <c r="I56"/>
      <c r="J56"/>
      <c r="M56" s="10"/>
    </row>
    <row r="57" spans="1:13">
      <c r="A57" s="123" t="s">
        <v>244</v>
      </c>
      <c r="B57" s="411">
        <v>34</v>
      </c>
      <c r="C57" s="427">
        <v>2039</v>
      </c>
      <c r="D57" s="406">
        <v>2140</v>
      </c>
      <c r="F57"/>
      <c r="G57"/>
      <c r="H57"/>
      <c r="I57"/>
      <c r="J57"/>
      <c r="M57" s="10"/>
    </row>
    <row r="58" spans="1:13">
      <c r="A58" s="149" t="s">
        <v>248</v>
      </c>
      <c r="B58" s="411">
        <v>40</v>
      </c>
      <c r="C58" s="427">
        <v>2261</v>
      </c>
      <c r="D58" s="406">
        <v>1955</v>
      </c>
      <c r="F58"/>
      <c r="G58"/>
      <c r="H58"/>
      <c r="I58"/>
      <c r="J58"/>
      <c r="M58" s="10"/>
    </row>
    <row r="59" spans="1:13">
      <c r="A59" s="149" t="s">
        <v>251</v>
      </c>
      <c r="B59" s="411">
        <v>41</v>
      </c>
      <c r="C59" s="427">
        <v>515</v>
      </c>
      <c r="D59" s="406">
        <v>592</v>
      </c>
      <c r="F59"/>
      <c r="G59"/>
      <c r="H59"/>
      <c r="I59"/>
      <c r="J59"/>
      <c r="M59" s="10"/>
    </row>
    <row r="60" spans="1:13">
      <c r="A60" s="123" t="s">
        <v>245</v>
      </c>
      <c r="B60" s="411">
        <v>35</v>
      </c>
      <c r="C60" s="427">
        <v>88</v>
      </c>
      <c r="D60" s="406">
        <v>110</v>
      </c>
      <c r="F60"/>
      <c r="G60"/>
      <c r="H60"/>
      <c r="I60"/>
      <c r="J60"/>
      <c r="M60" s="10"/>
    </row>
    <row r="61" spans="1:13" ht="25.5">
      <c r="A61" s="123" t="s">
        <v>692</v>
      </c>
      <c r="B61" s="411">
        <v>37</v>
      </c>
      <c r="C61" s="427">
        <v>4312</v>
      </c>
      <c r="D61" s="406">
        <v>3386</v>
      </c>
      <c r="F61"/>
      <c r="G61"/>
      <c r="H61"/>
      <c r="I61"/>
      <c r="J61"/>
      <c r="M61" s="10"/>
    </row>
    <row r="62" spans="1:13">
      <c r="A62" s="123" t="s">
        <v>252</v>
      </c>
      <c r="B62" s="411">
        <v>38</v>
      </c>
      <c r="C62" s="427">
        <v>227</v>
      </c>
      <c r="D62" s="406">
        <v>236</v>
      </c>
      <c r="F62"/>
      <c r="G62"/>
      <c r="H62"/>
      <c r="I62"/>
      <c r="J62"/>
      <c r="M62" s="10"/>
    </row>
    <row r="63" spans="1:13">
      <c r="A63" s="123" t="s">
        <v>246</v>
      </c>
      <c r="B63" s="411">
        <v>39</v>
      </c>
      <c r="C63" s="427">
        <v>285</v>
      </c>
      <c r="D63" s="406">
        <v>398</v>
      </c>
      <c r="F63"/>
      <c r="G63"/>
      <c r="H63"/>
      <c r="I63"/>
      <c r="J63"/>
      <c r="M63" s="10"/>
    </row>
    <row r="64" spans="1:13">
      <c r="A64" s="123" t="s">
        <v>513</v>
      </c>
      <c r="B64" s="411">
        <v>42</v>
      </c>
      <c r="C64" s="427">
        <v>473</v>
      </c>
      <c r="D64" s="406">
        <v>23</v>
      </c>
      <c r="F64"/>
      <c r="G64"/>
      <c r="H64"/>
      <c r="I64"/>
      <c r="J64"/>
      <c r="M64" s="10"/>
    </row>
    <row r="65" spans="1:13">
      <c r="A65" s="123" t="s">
        <v>514</v>
      </c>
      <c r="B65" s="411">
        <v>43</v>
      </c>
      <c r="C65" s="427">
        <v>1005</v>
      </c>
      <c r="D65" s="406">
        <v>977</v>
      </c>
      <c r="F65"/>
      <c r="G65"/>
      <c r="H65"/>
      <c r="I65"/>
      <c r="J65"/>
      <c r="M65" s="10"/>
    </row>
    <row r="66" spans="1:13">
      <c r="A66" s="137" t="s">
        <v>387</v>
      </c>
      <c r="B66" s="411">
        <v>24</v>
      </c>
      <c r="C66" s="427">
        <v>368</v>
      </c>
      <c r="D66" s="406">
        <v>375</v>
      </c>
      <c r="F66"/>
      <c r="G66"/>
      <c r="H66"/>
      <c r="I66"/>
      <c r="J66"/>
      <c r="M66" s="10"/>
    </row>
    <row r="67" spans="1:13">
      <c r="A67" s="123" t="s">
        <v>249</v>
      </c>
      <c r="B67" s="411">
        <v>44</v>
      </c>
      <c r="C67" s="427">
        <v>290</v>
      </c>
      <c r="D67" s="406">
        <v>740</v>
      </c>
      <c r="F67"/>
      <c r="G67"/>
      <c r="H67"/>
      <c r="I67"/>
      <c r="J67"/>
      <c r="M67" s="10"/>
    </row>
    <row r="68" spans="1:13">
      <c r="A68" s="123" t="s">
        <v>253</v>
      </c>
      <c r="B68" s="411">
        <v>45</v>
      </c>
      <c r="C68" s="427">
        <v>1326</v>
      </c>
      <c r="D68" s="406">
        <v>1221</v>
      </c>
      <c r="F68"/>
      <c r="G68"/>
      <c r="H68"/>
      <c r="I68"/>
      <c r="J68"/>
      <c r="M68" s="10"/>
    </row>
    <row r="69" spans="1:13" ht="25.5">
      <c r="A69" s="409" t="s">
        <v>730</v>
      </c>
      <c r="B69" s="449"/>
      <c r="C69" s="679">
        <v>0</v>
      </c>
      <c r="D69" s="602">
        <v>0</v>
      </c>
      <c r="F69"/>
      <c r="G69"/>
      <c r="H69"/>
      <c r="I69"/>
      <c r="J69"/>
      <c r="M69" s="10"/>
    </row>
    <row r="70" spans="1:13">
      <c r="A70" s="268"/>
      <c r="B70" s="82"/>
      <c r="C70" s="432">
        <v>13189</v>
      </c>
      <c r="D70" s="433">
        <v>12153</v>
      </c>
      <c r="F70"/>
      <c r="G70"/>
      <c r="H70"/>
      <c r="I70"/>
      <c r="J70"/>
      <c r="M70" s="10"/>
    </row>
    <row r="71" spans="1:13">
      <c r="A71" s="268"/>
      <c r="B71" s="82"/>
      <c r="C71" s="432"/>
      <c r="D71" s="433"/>
      <c r="F71"/>
      <c r="G71"/>
      <c r="H71"/>
      <c r="I71"/>
      <c r="J71"/>
      <c r="M71" s="10"/>
    </row>
    <row r="72" spans="1:13">
      <c r="A72" s="454" t="s">
        <v>254</v>
      </c>
      <c r="B72" s="455"/>
      <c r="C72" s="456">
        <v>29810</v>
      </c>
      <c r="D72" s="456">
        <v>27960</v>
      </c>
      <c r="F72"/>
      <c r="G72"/>
      <c r="H72"/>
      <c r="I72"/>
      <c r="J72"/>
      <c r="M72" s="10"/>
    </row>
    <row r="73" spans="1:13">
      <c r="A73" s="268"/>
      <c r="B73" s="82"/>
      <c r="C73" s="433"/>
      <c r="D73" s="433"/>
      <c r="F73"/>
      <c r="G73"/>
      <c r="H73"/>
      <c r="I73"/>
      <c r="J73"/>
      <c r="M73" s="10"/>
    </row>
    <row r="74" spans="1:13">
      <c r="A74" s="445" t="s">
        <v>255</v>
      </c>
      <c r="B74" s="446"/>
      <c r="C74" s="447">
        <v>48672</v>
      </c>
      <c r="D74" s="447">
        <v>45714</v>
      </c>
      <c r="F74"/>
      <c r="G74"/>
      <c r="H74"/>
      <c r="I74"/>
      <c r="J74"/>
      <c r="M74" s="10"/>
    </row>
    <row r="75" spans="1:13">
      <c r="F75"/>
      <c r="G75"/>
      <c r="H75"/>
      <c r="I75"/>
      <c r="J75"/>
      <c r="M75" s="10"/>
    </row>
    <row r="76" spans="1:13">
      <c r="D76" s="405"/>
      <c r="F76"/>
      <c r="G76"/>
      <c r="H76"/>
      <c r="I76"/>
      <c r="J76"/>
      <c r="M76" s="10"/>
    </row>
    <row r="77" spans="1:13">
      <c r="F77"/>
      <c r="G77"/>
      <c r="H77"/>
      <c r="I77"/>
      <c r="J77"/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L38"/>
  <sheetViews>
    <sheetView topLeftCell="A21" workbookViewId="0">
      <selection activeCell="E36" sqref="E36"/>
    </sheetView>
  </sheetViews>
  <sheetFormatPr defaultColWidth="9.28515625" defaultRowHeight="15"/>
  <cols>
    <col min="1" max="1" width="102.7109375" style="419" customWidth="1"/>
    <col min="2" max="2" width="14.7109375" style="419" customWidth="1"/>
    <col min="3" max="3" width="23.5703125" style="419" customWidth="1"/>
    <col min="4" max="4" width="25.28515625" style="419" customWidth="1"/>
    <col min="5" max="5" width="9.28515625" style="419"/>
    <col min="6" max="6" width="13" style="10" customWidth="1"/>
    <col min="7" max="10" width="9.28515625" style="10"/>
    <col min="11" max="16384" width="9.28515625" style="419"/>
  </cols>
  <sheetData>
    <row r="1" spans="1:12" ht="20.25">
      <c r="A1" s="418" t="s">
        <v>256</v>
      </c>
      <c r="B1" s="104"/>
      <c r="C1" s="104"/>
      <c r="D1" s="104"/>
    </row>
    <row r="2" spans="1:12" ht="102">
      <c r="A2" s="79" t="s">
        <v>662</v>
      </c>
      <c r="B2" s="73" t="s">
        <v>204</v>
      </c>
      <c r="C2" s="68" t="s">
        <v>925</v>
      </c>
      <c r="D2" s="68" t="s">
        <v>903</v>
      </c>
    </row>
    <row r="3" spans="1:12">
      <c r="A3" s="420" t="s">
        <v>257</v>
      </c>
      <c r="B3" s="422"/>
      <c r="C3" s="421"/>
      <c r="D3" s="422"/>
    </row>
    <row r="4" spans="1:12">
      <c r="A4" s="126" t="s">
        <v>868</v>
      </c>
      <c r="B4" s="459"/>
      <c r="C4" s="423">
        <v>1449</v>
      </c>
      <c r="D4" s="424">
        <v>1074</v>
      </c>
      <c r="K4" s="592"/>
      <c r="L4" s="592"/>
    </row>
    <row r="5" spans="1:12">
      <c r="A5" s="123" t="s">
        <v>258</v>
      </c>
      <c r="B5" s="459"/>
      <c r="C5" s="425">
        <v>-7</v>
      </c>
      <c r="D5" s="426">
        <v>-14</v>
      </c>
      <c r="K5" s="592"/>
      <c r="L5" s="592"/>
    </row>
    <row r="6" spans="1:12">
      <c r="A6" s="123" t="s">
        <v>259</v>
      </c>
      <c r="B6" s="459"/>
      <c r="C6" s="425">
        <v>614</v>
      </c>
      <c r="D6" s="426">
        <v>596</v>
      </c>
      <c r="K6" s="592"/>
      <c r="L6" s="592"/>
    </row>
    <row r="7" spans="1:12" ht="25.5">
      <c r="A7" s="123" t="s">
        <v>810</v>
      </c>
      <c r="B7" s="459"/>
      <c r="C7" s="414">
        <v>0</v>
      </c>
      <c r="D7" s="633">
        <v>3</v>
      </c>
      <c r="K7" s="592"/>
      <c r="L7" s="592"/>
    </row>
    <row r="8" spans="1:12">
      <c r="A8" s="123" t="s">
        <v>663</v>
      </c>
      <c r="B8" s="595"/>
      <c r="C8" s="425">
        <v>-12</v>
      </c>
      <c r="D8" s="426">
        <v>-11</v>
      </c>
      <c r="K8" s="592"/>
      <c r="L8" s="592"/>
    </row>
    <row r="9" spans="1:12">
      <c r="A9" s="124" t="s">
        <v>260</v>
      </c>
      <c r="B9" s="595"/>
      <c r="C9" s="425">
        <v>-60</v>
      </c>
      <c r="D9" s="426">
        <v>-42</v>
      </c>
      <c r="K9" s="592"/>
      <c r="L9" s="592"/>
    </row>
    <row r="10" spans="1:12">
      <c r="A10" s="124" t="s">
        <v>261</v>
      </c>
      <c r="B10" s="595"/>
      <c r="C10" s="427">
        <v>169</v>
      </c>
      <c r="D10" s="406">
        <v>188</v>
      </c>
      <c r="K10" s="592"/>
      <c r="L10" s="592"/>
    </row>
    <row r="11" spans="1:12">
      <c r="A11" s="124" t="s">
        <v>823</v>
      </c>
      <c r="B11" s="595"/>
      <c r="C11" s="425">
        <v>53</v>
      </c>
      <c r="D11" s="406">
        <v>43</v>
      </c>
      <c r="K11" s="592"/>
      <c r="L11" s="592"/>
    </row>
    <row r="12" spans="1:12">
      <c r="A12" s="124" t="s">
        <v>262</v>
      </c>
      <c r="B12" s="595"/>
      <c r="C12" s="425">
        <v>4</v>
      </c>
      <c r="D12" s="426">
        <v>4</v>
      </c>
      <c r="K12" s="592"/>
      <c r="L12" s="592"/>
    </row>
    <row r="13" spans="1:12">
      <c r="A13" s="124" t="s">
        <v>263</v>
      </c>
      <c r="B13" s="670" t="s">
        <v>919</v>
      </c>
      <c r="C13" s="425">
        <v>-287</v>
      </c>
      <c r="D13" s="426">
        <v>356</v>
      </c>
      <c r="K13" s="592"/>
      <c r="L13" s="592"/>
    </row>
    <row r="14" spans="1:12">
      <c r="A14" s="124" t="s">
        <v>264</v>
      </c>
      <c r="B14" s="670" t="s">
        <v>919</v>
      </c>
      <c r="C14" s="425">
        <v>-112</v>
      </c>
      <c r="D14" s="426">
        <v>-53</v>
      </c>
      <c r="K14" s="592"/>
      <c r="L14" s="592"/>
    </row>
    <row r="15" spans="1:12" ht="39" customHeight="1">
      <c r="A15" s="258" t="s">
        <v>265</v>
      </c>
      <c r="B15" s="446"/>
      <c r="C15" s="428">
        <v>1811</v>
      </c>
      <c r="D15" s="428">
        <v>2144</v>
      </c>
      <c r="K15" s="592"/>
      <c r="L15" s="592"/>
    </row>
    <row r="16" spans="1:12">
      <c r="A16" s="76" t="s">
        <v>266</v>
      </c>
      <c r="B16" s="459"/>
      <c r="C16" s="458"/>
      <c r="D16" s="426"/>
      <c r="K16" s="592"/>
      <c r="L16" s="592"/>
    </row>
    <row r="17" spans="1:12" ht="25.5">
      <c r="A17" s="408" t="s">
        <v>884</v>
      </c>
      <c r="B17" s="459" t="s">
        <v>920</v>
      </c>
      <c r="C17" s="425">
        <v>-1424</v>
      </c>
      <c r="D17" s="426">
        <v>-1031</v>
      </c>
      <c r="K17" s="592"/>
      <c r="L17" s="592"/>
    </row>
    <row r="18" spans="1:12">
      <c r="A18" s="250" t="s">
        <v>267</v>
      </c>
      <c r="B18" s="271"/>
      <c r="C18" s="429">
        <v>-1424</v>
      </c>
      <c r="D18" s="424">
        <v>-1031</v>
      </c>
      <c r="K18" s="592"/>
      <c r="L18" s="592"/>
    </row>
    <row r="19" spans="1:12" ht="25.5">
      <c r="A19" s="408" t="s">
        <v>392</v>
      </c>
      <c r="B19" s="271"/>
      <c r="C19" s="425">
        <v>3</v>
      </c>
      <c r="D19" s="426">
        <v>6</v>
      </c>
      <c r="K19" s="592"/>
      <c r="L19" s="592"/>
    </row>
    <row r="20" spans="1:12">
      <c r="A20" s="250" t="s">
        <v>268</v>
      </c>
      <c r="B20" s="271"/>
      <c r="C20" s="429">
        <v>3</v>
      </c>
      <c r="D20" s="424">
        <v>6</v>
      </c>
      <c r="K20" s="592"/>
      <c r="L20" s="592"/>
    </row>
    <row r="21" spans="1:12" ht="37.5" customHeight="1">
      <c r="A21" s="258" t="s">
        <v>269</v>
      </c>
      <c r="B21" s="460"/>
      <c r="C21" s="428">
        <v>-1421</v>
      </c>
      <c r="D21" s="428">
        <v>-1025</v>
      </c>
      <c r="K21" s="592"/>
      <c r="L21" s="592"/>
    </row>
    <row r="22" spans="1:12">
      <c r="A22" s="76" t="s">
        <v>270</v>
      </c>
      <c r="B22" s="459"/>
      <c r="C22" s="427"/>
      <c r="D22" s="406"/>
      <c r="K22" s="592"/>
      <c r="L22" s="592"/>
    </row>
    <row r="23" spans="1:12">
      <c r="A23" s="408" t="s">
        <v>652</v>
      </c>
      <c r="B23" s="459" t="s">
        <v>922</v>
      </c>
      <c r="C23" s="425">
        <v>-795</v>
      </c>
      <c r="D23" s="426">
        <v>-1086</v>
      </c>
      <c r="K23" s="592"/>
      <c r="L23" s="592"/>
    </row>
    <row r="24" spans="1:12">
      <c r="A24" s="408" t="s">
        <v>271</v>
      </c>
      <c r="B24" s="459" t="s">
        <v>922</v>
      </c>
      <c r="C24" s="425">
        <v>-90</v>
      </c>
      <c r="D24" s="426">
        <v>-106</v>
      </c>
      <c r="K24" s="592"/>
      <c r="L24" s="592"/>
    </row>
    <row r="25" spans="1:12">
      <c r="A25" s="408" t="s">
        <v>562</v>
      </c>
      <c r="B25" s="459"/>
      <c r="C25" s="425">
        <v>-84</v>
      </c>
      <c r="D25" s="426">
        <v>-72</v>
      </c>
      <c r="K25" s="592"/>
      <c r="L25" s="592"/>
    </row>
    <row r="26" spans="1:12">
      <c r="A26" s="408" t="s">
        <v>272</v>
      </c>
      <c r="B26" s="459"/>
      <c r="C26" s="425">
        <v>-8</v>
      </c>
      <c r="D26" s="426">
        <v>-1</v>
      </c>
      <c r="K26" s="592"/>
      <c r="L26" s="592"/>
    </row>
    <row r="27" spans="1:12">
      <c r="A27" s="250" t="s">
        <v>267</v>
      </c>
      <c r="B27" s="410"/>
      <c r="C27" s="429">
        <v>-977</v>
      </c>
      <c r="D27" s="424">
        <v>-1265</v>
      </c>
      <c r="K27" s="592"/>
      <c r="L27" s="592"/>
    </row>
    <row r="28" spans="1:12">
      <c r="A28" s="408" t="s">
        <v>758</v>
      </c>
      <c r="B28" s="410" t="s">
        <v>922</v>
      </c>
      <c r="C28" s="425">
        <v>1551</v>
      </c>
      <c r="D28" s="426">
        <v>172</v>
      </c>
      <c r="K28" s="592"/>
      <c r="L28" s="592"/>
    </row>
    <row r="29" spans="1:12">
      <c r="A29" s="408" t="s">
        <v>921</v>
      </c>
      <c r="B29" s="410"/>
      <c r="C29" s="425">
        <v>65</v>
      </c>
      <c r="D29" s="633">
        <v>0</v>
      </c>
      <c r="K29" s="592"/>
      <c r="L29" s="592"/>
    </row>
    <row r="30" spans="1:12">
      <c r="A30" s="408" t="s">
        <v>608</v>
      </c>
      <c r="B30" s="410"/>
      <c r="C30" s="425">
        <v>6</v>
      </c>
      <c r="D30" s="426">
        <v>5</v>
      </c>
      <c r="K30" s="592"/>
      <c r="L30" s="592"/>
    </row>
    <row r="31" spans="1:12">
      <c r="A31" s="251" t="s">
        <v>268</v>
      </c>
      <c r="B31" s="461"/>
      <c r="C31" s="430">
        <v>1622</v>
      </c>
      <c r="D31" s="431">
        <v>177</v>
      </c>
      <c r="K31" s="592"/>
      <c r="L31" s="592"/>
    </row>
    <row r="32" spans="1:12" ht="29.25" customHeight="1">
      <c r="A32" s="256" t="s">
        <v>273</v>
      </c>
      <c r="B32" s="462"/>
      <c r="C32" s="428">
        <v>645</v>
      </c>
      <c r="D32" s="428">
        <v>-1088</v>
      </c>
      <c r="K32" s="592"/>
      <c r="L32" s="592"/>
    </row>
    <row r="33" spans="1:12" ht="37.5" customHeight="1">
      <c r="A33" s="257" t="s">
        <v>274</v>
      </c>
      <c r="B33" s="460"/>
      <c r="C33" s="428">
        <v>1035</v>
      </c>
      <c r="D33" s="428">
        <v>31</v>
      </c>
      <c r="K33" s="592"/>
      <c r="L33" s="592"/>
    </row>
    <row r="34" spans="1:12">
      <c r="A34" s="247" t="s">
        <v>275</v>
      </c>
      <c r="B34" s="459"/>
      <c r="C34" s="414">
        <v>0</v>
      </c>
      <c r="D34" s="633">
        <v>0</v>
      </c>
      <c r="K34" s="592"/>
      <c r="L34" s="592"/>
    </row>
    <row r="35" spans="1:12">
      <c r="A35" s="248" t="s">
        <v>276</v>
      </c>
      <c r="B35" s="523">
        <v>31</v>
      </c>
      <c r="C35" s="432">
        <v>557</v>
      </c>
      <c r="D35" s="433">
        <v>1048</v>
      </c>
      <c r="K35" s="592"/>
      <c r="L35" s="592"/>
    </row>
    <row r="36" spans="1:12">
      <c r="A36" s="248" t="s">
        <v>277</v>
      </c>
      <c r="B36" s="524">
        <v>31</v>
      </c>
      <c r="C36" s="432">
        <v>1592</v>
      </c>
      <c r="D36" s="433">
        <v>1079</v>
      </c>
      <c r="K36" s="592"/>
      <c r="L36" s="592"/>
    </row>
    <row r="37" spans="1:12">
      <c r="A37" s="463" t="s">
        <v>278</v>
      </c>
      <c r="B37" s="525">
        <v>31</v>
      </c>
      <c r="C37" s="434">
        <v>504</v>
      </c>
      <c r="D37" s="435">
        <v>246</v>
      </c>
      <c r="K37" s="592"/>
      <c r="L37" s="592"/>
    </row>
    <row r="38" spans="1:12">
      <c r="K38" s="592"/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Y177"/>
  <sheetViews>
    <sheetView workbookViewId="0">
      <pane xSplit="2" ySplit="4" topLeftCell="L51" activePane="bottomRight" state="frozen"/>
      <selection pane="topRight" activeCell="C1" sqref="C1"/>
      <selection pane="bottomLeft" activeCell="A5" sqref="A5"/>
      <selection pane="bottomRight" activeCell="Q64" sqref="Q64:Q74"/>
    </sheetView>
  </sheetViews>
  <sheetFormatPr defaultColWidth="12.42578125" defaultRowHeight="15"/>
  <cols>
    <col min="1" max="1" width="101.28515625" style="110" customWidth="1"/>
    <col min="2" max="2" width="3.28515625" style="534" customWidth="1"/>
    <col min="3" max="5" width="12.42578125" style="110"/>
    <col min="6" max="6" width="17.28515625" style="110" customWidth="1"/>
    <col min="7" max="7" width="15.7109375" style="110" customWidth="1"/>
    <col min="8" max="8" width="17.28515625" style="110" customWidth="1"/>
    <col min="9" max="9" width="14.28515625" style="110" customWidth="1"/>
    <col min="10" max="10" width="16.28515625" style="110" customWidth="1"/>
    <col min="11" max="11" width="14.28515625" style="110" customWidth="1"/>
    <col min="12" max="13" width="14.28515625" style="10" customWidth="1"/>
    <col min="14" max="14" width="17" style="10" customWidth="1"/>
    <col min="15" max="16" width="12.42578125" style="10"/>
    <col min="17" max="20" width="12.42578125" style="110" customWidth="1"/>
    <col min="21" max="16384" width="12.42578125" style="110"/>
  </cols>
  <sheetData>
    <row r="1" spans="1:25" ht="18">
      <c r="A1" s="400" t="s">
        <v>375</v>
      </c>
    </row>
    <row r="2" spans="1:25" s="395" customFormat="1" ht="15" customHeight="1">
      <c r="A2" s="401" t="s">
        <v>376</v>
      </c>
      <c r="B2" s="535"/>
      <c r="C2" s="535" t="s">
        <v>665</v>
      </c>
      <c r="D2" s="535"/>
      <c r="E2" s="584"/>
      <c r="F2" s="111"/>
    </row>
    <row r="3" spans="1:25" ht="91.5" customHeight="1">
      <c r="A3" s="90" t="s">
        <v>679</v>
      </c>
      <c r="C3" s="73" t="s">
        <v>626</v>
      </c>
      <c r="D3" s="73" t="s">
        <v>640</v>
      </c>
      <c r="E3" s="73" t="s">
        <v>653</v>
      </c>
      <c r="F3" s="73" t="s">
        <v>755</v>
      </c>
      <c r="G3" s="73" t="s">
        <v>781</v>
      </c>
      <c r="H3" s="73" t="s">
        <v>796</v>
      </c>
      <c r="I3" s="73" t="s">
        <v>811</v>
      </c>
      <c r="J3" s="73" t="s">
        <v>754</v>
      </c>
      <c r="K3" s="73" t="s">
        <v>895</v>
      </c>
      <c r="L3" s="73" t="s">
        <v>853</v>
      </c>
      <c r="M3" s="73" t="s">
        <v>896</v>
      </c>
      <c r="N3" s="73" t="s">
        <v>890</v>
      </c>
      <c r="O3" s="681" t="s">
        <v>897</v>
      </c>
      <c r="P3" s="73" t="s">
        <v>898</v>
      </c>
      <c r="Q3" s="73" t="s">
        <v>899</v>
      </c>
      <c r="R3" s="73" t="s">
        <v>900</v>
      </c>
      <c r="S3" s="681" t="s">
        <v>923</v>
      </c>
    </row>
    <row r="4" spans="1:25">
      <c r="A4" s="80"/>
      <c r="Q4" s="10"/>
      <c r="R4" s="10"/>
      <c r="S4" s="10"/>
      <c r="T4" s="10"/>
      <c r="U4" s="10"/>
      <c r="V4" s="10"/>
      <c r="W4" s="10"/>
      <c r="X4" s="10"/>
      <c r="Y4" s="10"/>
    </row>
    <row r="5" spans="1:25">
      <c r="A5" s="80" t="s">
        <v>564</v>
      </c>
      <c r="B5" s="536"/>
      <c r="C5" s="117">
        <v>6445</v>
      </c>
      <c r="D5" s="117">
        <v>5421</v>
      </c>
      <c r="E5" s="117">
        <f>5997+1</f>
        <v>5998</v>
      </c>
      <c r="F5" s="117">
        <v>7300</v>
      </c>
      <c r="G5" s="117">
        <v>9620</v>
      </c>
      <c r="H5" s="117">
        <f>8081-4</f>
        <v>8077</v>
      </c>
      <c r="I5" s="117">
        <f>8690-123</f>
        <v>8567</v>
      </c>
      <c r="J5" s="117">
        <v>10047</v>
      </c>
      <c r="K5" s="117">
        <f>12934-677</f>
        <v>12257</v>
      </c>
      <c r="L5" s="637">
        <f>9689+106</f>
        <v>9795</v>
      </c>
      <c r="M5" s="637">
        <f>9160-27</f>
        <v>9133</v>
      </c>
      <c r="N5" s="637">
        <v>10792</v>
      </c>
      <c r="O5" s="637">
        <f>8142+342</f>
        <v>8484</v>
      </c>
      <c r="P5" s="637">
        <f>7142+62</f>
        <v>7204</v>
      </c>
      <c r="Q5" s="637">
        <f>7746+2</f>
        <v>7748</v>
      </c>
      <c r="R5" s="637">
        <v>9099</v>
      </c>
      <c r="S5" s="637">
        <v>9297</v>
      </c>
      <c r="T5" s="637"/>
      <c r="U5" s="637"/>
      <c r="V5" s="637"/>
      <c r="W5" s="10"/>
      <c r="X5" s="10"/>
      <c r="Y5" s="10"/>
    </row>
    <row r="6" spans="1:25">
      <c r="A6" s="252" t="s">
        <v>563</v>
      </c>
      <c r="B6" s="536"/>
      <c r="C6" s="394">
        <v>0</v>
      </c>
      <c r="D6" s="394">
        <v>0</v>
      </c>
      <c r="E6" s="117">
        <v>-7</v>
      </c>
      <c r="F6" s="117">
        <v>-2</v>
      </c>
      <c r="G6" s="394">
        <v>0</v>
      </c>
      <c r="H6" s="117">
        <v>4</v>
      </c>
      <c r="I6" s="117">
        <v>2</v>
      </c>
      <c r="J6" s="117">
        <v>478</v>
      </c>
      <c r="K6" s="117">
        <v>2304</v>
      </c>
      <c r="L6" s="637">
        <v>1975</v>
      </c>
      <c r="M6" s="637">
        <v>1903</v>
      </c>
      <c r="N6" s="637">
        <v>1876</v>
      </c>
      <c r="O6" s="637">
        <v>1178</v>
      </c>
      <c r="P6" s="637">
        <v>938</v>
      </c>
      <c r="Q6" s="637">
        <v>380</v>
      </c>
      <c r="R6" s="637">
        <v>368</v>
      </c>
      <c r="S6" s="637">
        <v>335</v>
      </c>
      <c r="T6" s="637"/>
      <c r="U6" s="637"/>
      <c r="V6" s="637"/>
      <c r="W6" s="10"/>
      <c r="X6" s="10"/>
      <c r="Y6" s="10"/>
    </row>
    <row r="7" spans="1:25" ht="15.75" customHeight="1">
      <c r="A7" s="87" t="s">
        <v>377</v>
      </c>
      <c r="B7" s="536"/>
      <c r="C7" s="117">
        <v>-5002</v>
      </c>
      <c r="D7" s="117">
        <v>-5647</v>
      </c>
      <c r="E7" s="117">
        <f>-5455-1</f>
        <v>-5456</v>
      </c>
      <c r="F7" s="117">
        <v>-6823</v>
      </c>
      <c r="G7" s="117">
        <v>-8048</v>
      </c>
      <c r="H7" s="117">
        <v>-8155</v>
      </c>
      <c r="I7" s="117">
        <f>-8484+137</f>
        <v>-8347</v>
      </c>
      <c r="J7" s="117">
        <v>-10304</v>
      </c>
      <c r="K7" s="117">
        <f>-13861+608</f>
        <v>-13253</v>
      </c>
      <c r="L7" s="637">
        <f>-10064</f>
        <v>-10064</v>
      </c>
      <c r="M7" s="637">
        <f>-10101</f>
        <v>-10101</v>
      </c>
      <c r="N7" s="637">
        <f>-11550-659</f>
        <v>-12209</v>
      </c>
      <c r="O7" s="637">
        <v>-7971</v>
      </c>
      <c r="P7" s="637">
        <v>-8388</v>
      </c>
      <c r="Q7" s="637">
        <v>-6913</v>
      </c>
      <c r="R7" s="637">
        <v>-8159</v>
      </c>
      <c r="S7" s="637">
        <v>-7531</v>
      </c>
      <c r="T7" s="637"/>
      <c r="U7" s="637"/>
      <c r="V7" s="637"/>
      <c r="W7" s="10"/>
      <c r="X7" s="10"/>
      <c r="Y7" s="10"/>
    </row>
    <row r="8" spans="1:25" s="396" customFormat="1">
      <c r="A8" s="80" t="s">
        <v>680</v>
      </c>
      <c r="B8" s="542"/>
      <c r="C8" s="513">
        <v>1443</v>
      </c>
      <c r="D8" s="117">
        <v>-226</v>
      </c>
      <c r="E8" s="513">
        <v>535</v>
      </c>
      <c r="F8" s="513">
        <v>475</v>
      </c>
      <c r="G8" s="513">
        <v>1572</v>
      </c>
      <c r="H8" s="117">
        <v>-74</v>
      </c>
      <c r="I8" s="117">
        <f>208+14</f>
        <v>222</v>
      </c>
      <c r="J8" s="117">
        <v>221</v>
      </c>
      <c r="K8" s="117">
        <f>K5+K6+K7</f>
        <v>1308</v>
      </c>
      <c r="L8" s="637">
        <f>1600+106</f>
        <v>1706</v>
      </c>
      <c r="M8" s="637">
        <f>962-27</f>
        <v>935</v>
      </c>
      <c r="N8" s="637">
        <f>541-82</f>
        <v>459</v>
      </c>
      <c r="O8" s="637">
        <f>1349+342</f>
        <v>1691</v>
      </c>
      <c r="P8" s="637">
        <f>-308+62</f>
        <v>-246</v>
      </c>
      <c r="Q8" s="637">
        <f>1213+2</f>
        <v>1215</v>
      </c>
      <c r="R8" s="637">
        <v>1308</v>
      </c>
      <c r="S8" s="637">
        <v>2101</v>
      </c>
      <c r="T8" s="637"/>
      <c r="U8" s="637"/>
      <c r="V8" s="637"/>
      <c r="W8" s="10"/>
      <c r="X8" s="10"/>
      <c r="Y8" s="10"/>
    </row>
    <row r="9" spans="1:25">
      <c r="A9" s="87" t="s">
        <v>378</v>
      </c>
      <c r="B9" s="536"/>
      <c r="C9" s="117">
        <v>-117</v>
      </c>
      <c r="D9" s="117">
        <v>-132</v>
      </c>
      <c r="E9" s="117">
        <f>-145-1</f>
        <v>-146</v>
      </c>
      <c r="F9" s="117">
        <v>-90</v>
      </c>
      <c r="G9" s="117">
        <v>-125</v>
      </c>
      <c r="H9" s="117">
        <v>-140</v>
      </c>
      <c r="I9" s="117">
        <f>-130+22</f>
        <v>-108</v>
      </c>
      <c r="J9" s="117">
        <v>-155</v>
      </c>
      <c r="K9" s="117">
        <f>-172</f>
        <v>-172</v>
      </c>
      <c r="L9" s="637">
        <v>-187</v>
      </c>
      <c r="M9" s="637">
        <v>-202</v>
      </c>
      <c r="N9" s="637">
        <v>-205</v>
      </c>
      <c r="O9" s="637">
        <v>-183</v>
      </c>
      <c r="P9" s="637">
        <v>-189</v>
      </c>
      <c r="Q9" s="637">
        <v>-170</v>
      </c>
      <c r="R9" s="637">
        <v>-196</v>
      </c>
      <c r="S9" s="637">
        <v>-198</v>
      </c>
      <c r="T9" s="637"/>
      <c r="U9" s="637"/>
      <c r="V9" s="637"/>
      <c r="W9" s="10"/>
      <c r="X9" s="10"/>
      <c r="Y9" s="10"/>
    </row>
    <row r="10" spans="1:25">
      <c r="A10" s="87" t="s">
        <v>206</v>
      </c>
      <c r="B10" s="536"/>
      <c r="C10" s="117">
        <v>-149</v>
      </c>
      <c r="D10" s="117">
        <v>-157</v>
      </c>
      <c r="E10" s="117">
        <f>-157-1</f>
        <v>-158</v>
      </c>
      <c r="F10" s="117">
        <v>-26</v>
      </c>
      <c r="G10" s="117">
        <v>-125</v>
      </c>
      <c r="H10" s="117">
        <v>-134</v>
      </c>
      <c r="I10" s="117">
        <f>-194+39</f>
        <v>-155</v>
      </c>
      <c r="J10" s="117">
        <v>-144</v>
      </c>
      <c r="K10" s="117">
        <v>-160</v>
      </c>
      <c r="L10" s="637">
        <v>-176</v>
      </c>
      <c r="M10" s="637">
        <v>-167</v>
      </c>
      <c r="N10" s="637">
        <v>-198</v>
      </c>
      <c r="O10" s="637">
        <v>-197</v>
      </c>
      <c r="P10" s="637">
        <v>-172</v>
      </c>
      <c r="Q10" s="637">
        <v>-169</v>
      </c>
      <c r="R10" s="637">
        <v>-215</v>
      </c>
      <c r="S10" s="637">
        <v>-182</v>
      </c>
      <c r="T10" s="637"/>
      <c r="U10" s="637"/>
      <c r="V10" s="637"/>
      <c r="W10" s="10"/>
      <c r="X10" s="10"/>
      <c r="Y10" s="10"/>
    </row>
    <row r="11" spans="1:25">
      <c r="A11" s="87" t="s">
        <v>207</v>
      </c>
      <c r="B11" s="536"/>
      <c r="C11" s="117">
        <v>16</v>
      </c>
      <c r="D11" s="117">
        <v>31</v>
      </c>
      <c r="E11" s="110">
        <f>42+2</f>
        <v>44</v>
      </c>
      <c r="F11" s="110">
        <v>-15</v>
      </c>
      <c r="G11" s="394">
        <v>0</v>
      </c>
      <c r="H11" s="117">
        <v>-2</v>
      </c>
      <c r="I11" s="117">
        <v>7</v>
      </c>
      <c r="J11" s="117">
        <v>81</v>
      </c>
      <c r="K11" s="117">
        <v>17</v>
      </c>
      <c r="L11" s="637">
        <v>215</v>
      </c>
      <c r="M11" s="637">
        <v>15</v>
      </c>
      <c r="N11" s="637">
        <v>13</v>
      </c>
      <c r="O11" s="637">
        <v>5</v>
      </c>
      <c r="P11" s="637">
        <v>39</v>
      </c>
      <c r="Q11" s="637">
        <v>2</v>
      </c>
      <c r="R11" s="637">
        <v>44</v>
      </c>
      <c r="S11" s="637">
        <v>30</v>
      </c>
      <c r="T11" s="637"/>
      <c r="U11" s="637"/>
      <c r="V11" s="637"/>
      <c r="W11" s="10"/>
      <c r="X11" s="10"/>
      <c r="Y11" s="10"/>
    </row>
    <row r="12" spans="1:25">
      <c r="A12" s="87" t="s">
        <v>390</v>
      </c>
      <c r="B12" s="536"/>
      <c r="C12" s="117">
        <v>19</v>
      </c>
      <c r="D12" s="117">
        <v>3</v>
      </c>
      <c r="E12" s="110">
        <v>19</v>
      </c>
      <c r="F12" s="110">
        <v>-9</v>
      </c>
      <c r="G12" s="117">
        <v>27</v>
      </c>
      <c r="H12" s="117">
        <v>22</v>
      </c>
      <c r="I12" s="117">
        <v>68</v>
      </c>
      <c r="J12" s="117">
        <v>11</v>
      </c>
      <c r="K12" s="117">
        <v>27</v>
      </c>
      <c r="L12" s="637">
        <v>36</v>
      </c>
      <c r="M12" s="637">
        <v>32</v>
      </c>
      <c r="N12" s="637">
        <v>-582</v>
      </c>
      <c r="O12" s="637">
        <v>14</v>
      </c>
      <c r="P12" s="637">
        <v>1</v>
      </c>
      <c r="Q12" s="637">
        <v>70</v>
      </c>
      <c r="R12" s="637">
        <v>-1</v>
      </c>
      <c r="S12" s="637">
        <v>7</v>
      </c>
      <c r="T12" s="637"/>
      <c r="U12" s="637"/>
      <c r="V12" s="637"/>
      <c r="W12" s="10"/>
      <c r="X12" s="10"/>
      <c r="Y12" s="10"/>
    </row>
    <row r="13" spans="1:25" s="396" customFormat="1">
      <c r="A13" s="80" t="s">
        <v>379</v>
      </c>
      <c r="B13" s="536"/>
      <c r="C13" s="513">
        <v>1212</v>
      </c>
      <c r="D13" s="117">
        <v>-481</v>
      </c>
      <c r="E13" s="396">
        <v>294</v>
      </c>
      <c r="F13" s="396">
        <v>335</v>
      </c>
      <c r="G13" s="513">
        <v>1349</v>
      </c>
      <c r="H13" s="117">
        <v>-328</v>
      </c>
      <c r="I13" s="513">
        <f>-41+75</f>
        <v>34</v>
      </c>
      <c r="J13" s="513">
        <v>14</v>
      </c>
      <c r="K13" s="513">
        <f>1697-677</f>
        <v>1020</v>
      </c>
      <c r="L13" s="637">
        <f>1488+106</f>
        <v>1594</v>
      </c>
      <c r="M13" s="637">
        <f>640-27</f>
        <v>613</v>
      </c>
      <c r="N13" s="637">
        <v>-513</v>
      </c>
      <c r="O13" s="637">
        <f>988+342</f>
        <v>1330</v>
      </c>
      <c r="P13" s="637">
        <f>-629+62</f>
        <v>-567</v>
      </c>
      <c r="Q13" s="637">
        <f>946+2</f>
        <v>948</v>
      </c>
      <c r="R13" s="637">
        <v>940</v>
      </c>
      <c r="S13" s="637">
        <v>1758</v>
      </c>
      <c r="T13" s="637"/>
      <c r="U13" s="637"/>
      <c r="V13" s="637"/>
      <c r="W13" s="10"/>
      <c r="X13" s="10"/>
      <c r="Y13" s="10"/>
    </row>
    <row r="14" spans="1:25">
      <c r="A14" s="87" t="s">
        <v>208</v>
      </c>
      <c r="B14" s="536"/>
      <c r="C14" s="117">
        <v>-91</v>
      </c>
      <c r="D14" s="117">
        <v>-95</v>
      </c>
      <c r="E14" s="117">
        <f>-93+1</f>
        <v>-92</v>
      </c>
      <c r="F14" s="117">
        <v>-87</v>
      </c>
      <c r="G14" s="117">
        <v>-110</v>
      </c>
      <c r="H14" s="117">
        <v>-145</v>
      </c>
      <c r="I14" s="117">
        <f>-155+1</f>
        <v>-154</v>
      </c>
      <c r="J14" s="117">
        <v>-182</v>
      </c>
      <c r="K14" s="117">
        <v>-211</v>
      </c>
      <c r="L14" s="637">
        <v>-227</v>
      </c>
      <c r="M14" s="637">
        <v>-181</v>
      </c>
      <c r="N14" s="637">
        <v>-178</v>
      </c>
      <c r="O14" s="637">
        <v>-186</v>
      </c>
      <c r="P14" s="637">
        <v>-156</v>
      </c>
      <c r="Q14" s="637">
        <v>-155</v>
      </c>
      <c r="R14" s="637">
        <v>-175</v>
      </c>
      <c r="S14" s="637">
        <v>-165</v>
      </c>
      <c r="T14" s="637"/>
      <c r="U14" s="637"/>
      <c r="V14" s="637"/>
      <c r="W14" s="10"/>
      <c r="X14" s="10"/>
      <c r="Y14" s="10"/>
    </row>
    <row r="15" spans="1:25">
      <c r="A15" s="87" t="s">
        <v>536</v>
      </c>
      <c r="B15" s="536"/>
      <c r="C15" s="117">
        <v>-24</v>
      </c>
      <c r="D15" s="117">
        <v>76</v>
      </c>
      <c r="E15" s="117">
        <f>-10-1</f>
        <v>-11</v>
      </c>
      <c r="F15" s="117">
        <v>89</v>
      </c>
      <c r="G15" s="117">
        <v>-32</v>
      </c>
      <c r="H15" s="117">
        <v>-9</v>
      </c>
      <c r="I15" s="117">
        <f>-18+5</f>
        <v>-13</v>
      </c>
      <c r="J15" s="117">
        <v>-314</v>
      </c>
      <c r="K15" s="117">
        <v>-94</v>
      </c>
      <c r="L15" s="637">
        <v>-127</v>
      </c>
      <c r="M15" s="637">
        <v>30</v>
      </c>
      <c r="N15" s="637">
        <v>-104</v>
      </c>
      <c r="O15" s="637">
        <v>-70</v>
      </c>
      <c r="P15" s="637">
        <v>34</v>
      </c>
      <c r="Q15" s="637">
        <v>-41</v>
      </c>
      <c r="R15" s="637">
        <v>-16</v>
      </c>
      <c r="S15" s="637">
        <v>-144</v>
      </c>
      <c r="T15" s="637"/>
      <c r="U15" s="637"/>
      <c r="V15" s="637"/>
      <c r="W15" s="10"/>
      <c r="X15" s="10"/>
      <c r="Y15" s="10"/>
    </row>
    <row r="16" spans="1:25">
      <c r="A16" s="80" t="s">
        <v>681</v>
      </c>
      <c r="B16" s="536"/>
      <c r="C16" s="513">
        <v>1097</v>
      </c>
      <c r="D16" s="513">
        <v>-500</v>
      </c>
      <c r="E16" s="513">
        <v>191</v>
      </c>
      <c r="F16" s="513">
        <v>337</v>
      </c>
      <c r="G16" s="513">
        <v>1207</v>
      </c>
      <c r="H16" s="117">
        <v>-482</v>
      </c>
      <c r="I16" s="117">
        <f>-214+81</f>
        <v>-133</v>
      </c>
      <c r="J16" s="117">
        <v>-482</v>
      </c>
      <c r="K16" s="117">
        <f>1392-677</f>
        <v>715</v>
      </c>
      <c r="L16" s="637">
        <f>1134+106</f>
        <v>1240</v>
      </c>
      <c r="M16" s="637">
        <f>489-27</f>
        <v>462</v>
      </c>
      <c r="N16" s="637">
        <f>-713-680+598</f>
        <v>-795</v>
      </c>
      <c r="O16" s="637">
        <f>732+342</f>
        <v>1074</v>
      </c>
      <c r="P16" s="637">
        <f>-751+62</f>
        <v>-689</v>
      </c>
      <c r="Q16" s="637">
        <f>750+2</f>
        <v>752</v>
      </c>
      <c r="R16" s="637">
        <v>749</v>
      </c>
      <c r="S16" s="637">
        <v>1449</v>
      </c>
      <c r="T16" s="637"/>
      <c r="U16" s="637"/>
      <c r="V16" s="637"/>
      <c r="W16" s="10"/>
      <c r="X16" s="10"/>
      <c r="Y16" s="10"/>
    </row>
    <row r="17" spans="1:25">
      <c r="A17" s="87" t="s">
        <v>209</v>
      </c>
      <c r="B17" s="536"/>
      <c r="C17" s="117">
        <v>-246</v>
      </c>
      <c r="D17" s="513">
        <v>31</v>
      </c>
      <c r="E17" s="117">
        <v>-76</v>
      </c>
      <c r="F17" s="117">
        <v>-2</v>
      </c>
      <c r="G17" s="117">
        <v>-371</v>
      </c>
      <c r="H17" s="117">
        <v>81</v>
      </c>
      <c r="I17" s="117">
        <v>-18</v>
      </c>
      <c r="J17" s="117">
        <v>-11</v>
      </c>
      <c r="K17" s="117">
        <f>-356+128</f>
        <v>-228</v>
      </c>
      <c r="L17" s="637">
        <f>-294-20</f>
        <v>-314</v>
      </c>
      <c r="M17" s="637">
        <f>-102+6</f>
        <v>-96</v>
      </c>
      <c r="N17" s="637">
        <f>128+130-114</f>
        <v>144</v>
      </c>
      <c r="O17" s="637">
        <f>-201-65</f>
        <v>-266</v>
      </c>
      <c r="P17" s="637">
        <f>-623-11</f>
        <v>-634</v>
      </c>
      <c r="Q17" s="637">
        <f>-114-1</f>
        <v>-115</v>
      </c>
      <c r="R17" s="637">
        <v>-281</v>
      </c>
      <c r="S17" s="637">
        <v>-318</v>
      </c>
      <c r="T17" s="637"/>
      <c r="U17" s="637"/>
      <c r="V17" s="637"/>
      <c r="W17" s="10"/>
      <c r="X17" s="10"/>
      <c r="Y17" s="10"/>
    </row>
    <row r="18" spans="1:25">
      <c r="A18" s="87"/>
      <c r="B18" s="536"/>
      <c r="C18" s="117"/>
      <c r="D18" s="513"/>
      <c r="E18" s="117"/>
      <c r="F18" s="117"/>
      <c r="G18" s="117"/>
      <c r="H18" s="117"/>
      <c r="I18" s="117"/>
      <c r="J18" s="117"/>
      <c r="K18" s="117"/>
      <c r="L18" s="637"/>
      <c r="M18" s="637"/>
      <c r="N18" s="637"/>
      <c r="P18" s="637"/>
      <c r="Q18" s="10"/>
      <c r="R18" s="637"/>
      <c r="S18" s="637"/>
      <c r="T18" s="637"/>
      <c r="U18" s="637"/>
      <c r="V18" s="637"/>
      <c r="W18" s="10"/>
      <c r="X18" s="10"/>
      <c r="Y18" s="10"/>
    </row>
    <row r="19" spans="1:25">
      <c r="A19" s="577" t="s">
        <v>742</v>
      </c>
      <c r="B19" s="536"/>
      <c r="C19" s="117"/>
      <c r="D19" s="513"/>
      <c r="E19" s="117"/>
      <c r="F19" s="117">
        <v>832</v>
      </c>
      <c r="G19" s="631">
        <v>836</v>
      </c>
      <c r="H19" s="631">
        <v>-401</v>
      </c>
      <c r="I19" s="631">
        <v>-151</v>
      </c>
      <c r="J19" s="631">
        <v>-493</v>
      </c>
      <c r="K19" s="631">
        <f>1036-549</f>
        <v>487</v>
      </c>
      <c r="L19" s="631">
        <f>840+86</f>
        <v>926</v>
      </c>
      <c r="M19" s="631">
        <f>387-21</f>
        <v>366</v>
      </c>
      <c r="N19" s="631">
        <f>-585-550+484</f>
        <v>-651</v>
      </c>
      <c r="O19" s="631"/>
      <c r="P19" s="631"/>
      <c r="Q19" s="631"/>
      <c r="R19" s="631"/>
      <c r="S19" s="631"/>
      <c r="T19" s="637"/>
      <c r="U19" s="637"/>
      <c r="V19" s="637"/>
      <c r="W19" s="10"/>
      <c r="X19" s="10"/>
      <c r="Y19" s="10"/>
    </row>
    <row r="20" spans="1:25">
      <c r="A20" s="80"/>
      <c r="B20" s="536"/>
      <c r="C20" s="117"/>
      <c r="D20" s="513"/>
      <c r="E20" s="117"/>
      <c r="F20" s="117"/>
      <c r="G20" s="631"/>
      <c r="H20" s="631"/>
      <c r="I20" s="631"/>
      <c r="J20" s="631"/>
      <c r="K20" s="394"/>
      <c r="L20" s="394"/>
      <c r="M20" s="394"/>
      <c r="N20" s="394"/>
      <c r="O20" s="394"/>
      <c r="P20" s="394"/>
      <c r="Q20" s="394"/>
      <c r="R20" s="394"/>
      <c r="S20" s="394"/>
      <c r="T20" s="637"/>
      <c r="U20" s="637"/>
      <c r="V20" s="637"/>
      <c r="W20" s="10"/>
      <c r="X20" s="10"/>
      <c r="Y20" s="10"/>
    </row>
    <row r="21" spans="1:25">
      <c r="A21" s="577" t="s">
        <v>743</v>
      </c>
      <c r="B21" s="536"/>
      <c r="C21" s="117"/>
      <c r="D21" s="513"/>
      <c r="E21" s="117"/>
      <c r="F21" s="117">
        <v>-447</v>
      </c>
      <c r="G21" s="631">
        <v>65</v>
      </c>
      <c r="H21" s="631">
        <v>129</v>
      </c>
      <c r="I21" s="631">
        <v>-81</v>
      </c>
      <c r="J21" s="631">
        <v>-38</v>
      </c>
      <c r="K21" s="634">
        <v>0</v>
      </c>
      <c r="L21" s="634">
        <v>0</v>
      </c>
      <c r="M21" s="634">
        <v>0</v>
      </c>
      <c r="N21" s="634">
        <v>0</v>
      </c>
      <c r="O21" s="634"/>
      <c r="P21" s="634">
        <v>0</v>
      </c>
      <c r="Q21" s="634"/>
      <c r="R21" s="634"/>
      <c r="S21" s="634"/>
      <c r="T21" s="637"/>
      <c r="U21" s="637"/>
      <c r="V21" s="637"/>
      <c r="W21" s="10"/>
      <c r="X21" s="10"/>
      <c r="Y21" s="10"/>
    </row>
    <row r="22" spans="1:25">
      <c r="A22" s="87"/>
      <c r="B22" s="536"/>
      <c r="C22" s="117"/>
      <c r="D22" s="513"/>
      <c r="E22" s="117"/>
      <c r="F22" s="117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7"/>
      <c r="U22" s="637"/>
      <c r="V22" s="637"/>
      <c r="W22" s="10"/>
      <c r="X22" s="10"/>
      <c r="Y22" s="10"/>
    </row>
    <row r="23" spans="1:25">
      <c r="A23" s="577" t="s">
        <v>682</v>
      </c>
      <c r="B23" s="536"/>
      <c r="C23" s="94">
        <v>851</v>
      </c>
      <c r="D23" s="94">
        <v>-469</v>
      </c>
      <c r="E23" s="94">
        <v>115</v>
      </c>
      <c r="F23" s="94">
        <v>-112</v>
      </c>
      <c r="G23" s="632">
        <v>901</v>
      </c>
      <c r="H23" s="632">
        <v>-272</v>
      </c>
      <c r="I23" s="632">
        <v>-232</v>
      </c>
      <c r="J23" s="632">
        <v>-531</v>
      </c>
      <c r="K23" s="631">
        <f>1036-549</f>
        <v>487</v>
      </c>
      <c r="L23" s="631">
        <f>840+86</f>
        <v>926</v>
      </c>
      <c r="M23" s="631">
        <f>387-21</f>
        <v>366</v>
      </c>
      <c r="N23" s="631">
        <v>-651</v>
      </c>
      <c r="O23" s="631">
        <f>531+277</f>
        <v>808</v>
      </c>
      <c r="P23" s="631">
        <f>-1374+51</f>
        <v>-1323</v>
      </c>
      <c r="Q23" s="631">
        <f>636+1</f>
        <v>637</v>
      </c>
      <c r="R23" s="631">
        <v>468</v>
      </c>
      <c r="S23" s="631">
        <v>1131</v>
      </c>
      <c r="T23" s="637"/>
      <c r="U23" s="637"/>
      <c r="V23" s="637"/>
      <c r="W23" s="10"/>
      <c r="X23" s="10"/>
      <c r="Y23" s="10"/>
    </row>
    <row r="24" spans="1:25">
      <c r="A24" s="80"/>
      <c r="B24" s="536"/>
      <c r="I24" s="117"/>
      <c r="J24" s="117"/>
      <c r="K24" s="117"/>
      <c r="L24" s="637"/>
      <c r="P24" s="637"/>
      <c r="Q24" s="10"/>
      <c r="R24" s="10"/>
      <c r="S24" s="637"/>
      <c r="T24" s="637"/>
      <c r="U24" s="637"/>
      <c r="V24" s="637"/>
      <c r="W24" s="10"/>
      <c r="X24" s="10"/>
      <c r="Y24" s="10"/>
    </row>
    <row r="25" spans="1:25">
      <c r="A25" s="87" t="s">
        <v>210</v>
      </c>
      <c r="B25" s="536"/>
      <c r="C25" s="117">
        <v>119</v>
      </c>
      <c r="D25" s="117">
        <v>13</v>
      </c>
      <c r="E25" s="117">
        <v>65</v>
      </c>
      <c r="F25" s="117">
        <v>258</v>
      </c>
      <c r="G25" s="110">
        <v>159</v>
      </c>
      <c r="H25" s="110">
        <v>173</v>
      </c>
      <c r="I25" s="117">
        <v>-26</v>
      </c>
      <c r="J25" s="117">
        <v>-119</v>
      </c>
      <c r="K25" s="117">
        <v>-90</v>
      </c>
      <c r="L25" s="637">
        <v>-84</v>
      </c>
      <c r="M25" s="637">
        <v>-88</v>
      </c>
      <c r="N25" s="637">
        <v>-25</v>
      </c>
      <c r="O25" s="637">
        <v>-7</v>
      </c>
      <c r="P25" s="637">
        <v>-26</v>
      </c>
      <c r="Q25" s="637">
        <v>-58</v>
      </c>
      <c r="R25" s="637">
        <v>-6</v>
      </c>
      <c r="S25" s="637">
        <v>-32</v>
      </c>
      <c r="T25" s="637"/>
      <c r="U25" s="637"/>
      <c r="V25" s="637"/>
      <c r="W25" s="10"/>
      <c r="X25" s="10"/>
      <c r="Y25" s="10"/>
    </row>
    <row r="26" spans="1:25">
      <c r="A26" s="87" t="s">
        <v>211</v>
      </c>
      <c r="B26" s="536"/>
      <c r="C26" s="117">
        <v>5</v>
      </c>
      <c r="D26" s="117">
        <v>-2</v>
      </c>
      <c r="E26" s="117">
        <f>7+1</f>
        <v>8</v>
      </c>
      <c r="F26" s="117">
        <v>5</v>
      </c>
      <c r="G26" s="110">
        <v>9</v>
      </c>
      <c r="H26" s="117">
        <v>-2</v>
      </c>
      <c r="I26" s="117">
        <v>16</v>
      </c>
      <c r="J26" s="117">
        <v>-6</v>
      </c>
      <c r="K26" s="117">
        <v>9</v>
      </c>
      <c r="L26" s="637">
        <v>-20</v>
      </c>
      <c r="M26" s="637">
        <v>3</v>
      </c>
      <c r="N26" s="637">
        <v>10</v>
      </c>
      <c r="O26" s="10">
        <v>6</v>
      </c>
      <c r="P26" s="637">
        <v>-3</v>
      </c>
      <c r="Q26" s="637">
        <v>-68</v>
      </c>
      <c r="R26" s="585">
        <v>0</v>
      </c>
      <c r="S26" s="585">
        <v>0</v>
      </c>
      <c r="T26" s="637"/>
      <c r="U26" s="637"/>
      <c r="V26" s="637"/>
      <c r="W26" s="10"/>
      <c r="X26" s="10"/>
      <c r="Y26" s="10"/>
    </row>
    <row r="27" spans="1:25">
      <c r="A27" s="262" t="s">
        <v>212</v>
      </c>
      <c r="B27" s="536"/>
      <c r="C27" s="117">
        <v>-23</v>
      </c>
      <c r="D27" s="117">
        <v>-2</v>
      </c>
      <c r="E27" s="117">
        <f>-12-1</f>
        <v>-13</v>
      </c>
      <c r="F27" s="117">
        <v>-50</v>
      </c>
      <c r="G27" s="117">
        <v>-30</v>
      </c>
      <c r="H27" s="117">
        <v>-33</v>
      </c>
      <c r="I27" s="117">
        <v>5</v>
      </c>
      <c r="J27" s="117">
        <v>22</v>
      </c>
      <c r="K27" s="117">
        <v>17</v>
      </c>
      <c r="L27" s="637">
        <v>16</v>
      </c>
      <c r="M27" s="637">
        <v>17</v>
      </c>
      <c r="N27" s="637">
        <v>5</v>
      </c>
      <c r="O27" s="10">
        <v>1</v>
      </c>
      <c r="P27" s="637">
        <v>5</v>
      </c>
      <c r="Q27" s="637">
        <v>11</v>
      </c>
      <c r="R27" s="637">
        <v>1</v>
      </c>
      <c r="S27" s="637">
        <v>6</v>
      </c>
      <c r="T27" s="637"/>
      <c r="U27" s="637"/>
      <c r="V27" s="637"/>
      <c r="W27" s="10"/>
      <c r="X27" s="10"/>
      <c r="Y27" s="10"/>
    </row>
    <row r="28" spans="1:25" ht="26.25">
      <c r="A28" s="578" t="s">
        <v>683</v>
      </c>
      <c r="B28" s="536"/>
      <c r="C28" s="117">
        <v>101</v>
      </c>
      <c r="D28" s="117">
        <v>9</v>
      </c>
      <c r="E28" s="117">
        <v>60</v>
      </c>
      <c r="F28" s="117">
        <v>213</v>
      </c>
      <c r="G28" s="110">
        <v>138</v>
      </c>
      <c r="H28" s="110">
        <v>138</v>
      </c>
      <c r="I28" s="117">
        <v>-5</v>
      </c>
      <c r="J28" s="117">
        <v>-103</v>
      </c>
      <c r="K28" s="117">
        <v>-64</v>
      </c>
      <c r="L28" s="637">
        <v>-88</v>
      </c>
      <c r="M28" s="637">
        <v>-68</v>
      </c>
      <c r="N28" s="637">
        <v>-10</v>
      </c>
      <c r="O28" s="585">
        <v>0</v>
      </c>
      <c r="P28" s="637">
        <v>-24</v>
      </c>
      <c r="Q28" s="637">
        <v>-115</v>
      </c>
      <c r="R28" s="637">
        <v>-5</v>
      </c>
      <c r="S28" s="637">
        <v>-26</v>
      </c>
      <c r="T28" s="637"/>
      <c r="U28" s="637"/>
      <c r="V28" s="637"/>
      <c r="W28" s="10"/>
      <c r="X28" s="10"/>
      <c r="Y28" s="10"/>
    </row>
    <row r="29" spans="1:25">
      <c r="A29" s="262" t="s">
        <v>684</v>
      </c>
      <c r="B29" s="536"/>
      <c r="C29" s="117">
        <v>5</v>
      </c>
      <c r="D29" s="117">
        <v>40</v>
      </c>
      <c r="E29" s="117">
        <v>-1</v>
      </c>
      <c r="F29" s="117">
        <v>60</v>
      </c>
      <c r="G29" s="110">
        <v>2</v>
      </c>
      <c r="H29" s="110">
        <v>77</v>
      </c>
      <c r="I29" s="117">
        <v>1</v>
      </c>
      <c r="J29" s="117">
        <v>-12</v>
      </c>
      <c r="K29" s="117">
        <v>2</v>
      </c>
      <c r="L29" s="637">
        <v>-18</v>
      </c>
      <c r="M29" s="637">
        <v>3</v>
      </c>
      <c r="N29" s="637">
        <v>-120</v>
      </c>
      <c r="O29" s="10">
        <v>4</v>
      </c>
      <c r="P29" s="637">
        <v>33</v>
      </c>
      <c r="Q29" s="637">
        <v>-20</v>
      </c>
      <c r="R29" s="637">
        <v>-77</v>
      </c>
      <c r="S29" s="637">
        <v>4</v>
      </c>
      <c r="T29" s="637"/>
      <c r="U29" s="637"/>
      <c r="V29" s="637"/>
      <c r="W29" s="10"/>
      <c r="X29" s="10"/>
      <c r="Y29" s="10"/>
    </row>
    <row r="30" spans="1:25">
      <c r="A30" s="262" t="s">
        <v>212</v>
      </c>
      <c r="B30" s="536"/>
      <c r="C30" s="117">
        <v>-1</v>
      </c>
      <c r="D30" s="117">
        <v>-7</v>
      </c>
      <c r="E30" s="585">
        <v>0</v>
      </c>
      <c r="F30" s="117">
        <v>-10</v>
      </c>
      <c r="G30" s="585">
        <v>0</v>
      </c>
      <c r="H30" s="117">
        <v>-15</v>
      </c>
      <c r="I30" s="117">
        <v>0</v>
      </c>
      <c r="J30" s="117">
        <v>3</v>
      </c>
      <c r="K30" s="585">
        <v>0</v>
      </c>
      <c r="L30" s="637">
        <v>3</v>
      </c>
      <c r="M30" s="637">
        <v>-1</v>
      </c>
      <c r="N30" s="637">
        <v>23</v>
      </c>
      <c r="O30" s="637">
        <v>-1</v>
      </c>
      <c r="P30" s="637">
        <v>-6</v>
      </c>
      <c r="Q30" s="637">
        <v>4</v>
      </c>
      <c r="R30" s="637">
        <v>15</v>
      </c>
      <c r="S30" s="637">
        <v>-1</v>
      </c>
      <c r="T30" s="637"/>
      <c r="U30" s="637"/>
      <c r="V30" s="637"/>
      <c r="W30" s="10"/>
      <c r="X30" s="10"/>
      <c r="Y30" s="10"/>
    </row>
    <row r="31" spans="1:25" ht="26.25">
      <c r="A31" s="639" t="s">
        <v>821</v>
      </c>
      <c r="B31" s="536"/>
      <c r="C31" s="117"/>
      <c r="D31" s="117"/>
      <c r="E31" s="585"/>
      <c r="F31" s="117"/>
      <c r="G31" s="585"/>
      <c r="H31" s="117"/>
      <c r="I31" s="117"/>
      <c r="J31" s="585">
        <v>0</v>
      </c>
      <c r="K31" s="585"/>
      <c r="L31" s="637"/>
      <c r="M31" s="637"/>
      <c r="N31" s="637">
        <v>-1</v>
      </c>
      <c r="O31" s="585">
        <v>0</v>
      </c>
      <c r="P31" s="585">
        <v>0</v>
      </c>
      <c r="Q31" s="585">
        <v>0</v>
      </c>
      <c r="R31" s="585">
        <v>0</v>
      </c>
      <c r="S31" s="585">
        <v>0</v>
      </c>
      <c r="T31" s="637"/>
      <c r="U31" s="637"/>
      <c r="V31" s="637"/>
      <c r="W31" s="10"/>
      <c r="X31" s="10"/>
      <c r="Y31" s="10"/>
    </row>
    <row r="32" spans="1:25" ht="26.25">
      <c r="A32" s="578" t="s">
        <v>628</v>
      </c>
      <c r="B32" s="536"/>
      <c r="C32" s="117">
        <v>4</v>
      </c>
      <c r="D32" s="117">
        <v>33</v>
      </c>
      <c r="E32" s="117">
        <v>-1</v>
      </c>
      <c r="F32" s="117">
        <v>50</v>
      </c>
      <c r="G32" s="396">
        <v>2</v>
      </c>
      <c r="H32" s="396">
        <v>62</v>
      </c>
      <c r="I32" s="513">
        <v>1</v>
      </c>
      <c r="J32" s="513">
        <v>-9</v>
      </c>
      <c r="K32" s="513">
        <v>2</v>
      </c>
      <c r="L32" s="637">
        <v>-15</v>
      </c>
      <c r="M32" s="637">
        <v>2</v>
      </c>
      <c r="N32" s="637">
        <v>-98</v>
      </c>
      <c r="O32" s="10">
        <v>3</v>
      </c>
      <c r="P32" s="637">
        <v>27</v>
      </c>
      <c r="Q32" s="637">
        <v>-16</v>
      </c>
      <c r="R32" s="637">
        <v>-62</v>
      </c>
      <c r="S32" s="637">
        <v>3</v>
      </c>
      <c r="T32" s="637"/>
      <c r="U32" s="637"/>
      <c r="V32" s="637"/>
      <c r="W32" s="10"/>
      <c r="X32" s="10"/>
      <c r="Y32" s="10"/>
    </row>
    <row r="33" spans="1:25">
      <c r="A33" s="578"/>
      <c r="B33" s="536"/>
      <c r="C33" s="117"/>
      <c r="D33" s="117"/>
      <c r="E33" s="117"/>
      <c r="F33" s="117"/>
      <c r="I33" s="117"/>
      <c r="J33" s="117"/>
      <c r="K33" s="117"/>
      <c r="L33" s="637"/>
      <c r="M33" s="637"/>
      <c r="N33" s="637"/>
      <c r="P33" s="637"/>
      <c r="Q33" s="10"/>
      <c r="R33" s="10"/>
      <c r="S33" s="637"/>
      <c r="T33" s="637"/>
      <c r="U33" s="637"/>
      <c r="V33" s="637"/>
      <c r="W33" s="10"/>
      <c r="X33" s="10"/>
      <c r="Y33" s="10"/>
    </row>
    <row r="34" spans="1:25" ht="26.25">
      <c r="A34" s="578" t="s">
        <v>744</v>
      </c>
      <c r="B34" s="536"/>
      <c r="C34" s="117"/>
      <c r="D34" s="117"/>
      <c r="E34" s="117"/>
      <c r="F34" s="117">
        <v>11</v>
      </c>
      <c r="G34" s="117">
        <v>-1</v>
      </c>
      <c r="H34" s="117">
        <v>12</v>
      </c>
      <c r="I34" s="117"/>
      <c r="J34" s="117">
        <v>7</v>
      </c>
      <c r="K34" s="585">
        <v>0</v>
      </c>
      <c r="L34" s="585">
        <v>0</v>
      </c>
      <c r="M34" s="585">
        <v>0</v>
      </c>
      <c r="N34" s="585">
        <v>0</v>
      </c>
      <c r="O34" s="585">
        <v>0</v>
      </c>
      <c r="P34" s="637"/>
      <c r="Q34" s="10"/>
      <c r="R34" s="10"/>
      <c r="S34" s="637"/>
      <c r="T34" s="637"/>
      <c r="U34" s="637"/>
      <c r="V34" s="637"/>
      <c r="W34" s="10"/>
      <c r="X34" s="10"/>
      <c r="Y34" s="10"/>
    </row>
    <row r="35" spans="1:25">
      <c r="A35" s="578"/>
      <c r="B35" s="536"/>
      <c r="C35" s="117"/>
      <c r="D35" s="117"/>
      <c r="F35" s="117"/>
      <c r="I35" s="117"/>
      <c r="J35" s="117"/>
      <c r="K35" s="117"/>
      <c r="L35" s="637"/>
      <c r="M35" s="637"/>
      <c r="N35" s="637"/>
      <c r="P35" s="637"/>
      <c r="Q35" s="10"/>
      <c r="R35" s="10"/>
      <c r="S35" s="637"/>
      <c r="T35" s="637"/>
      <c r="U35" s="637"/>
      <c r="V35" s="637"/>
      <c r="W35" s="10"/>
      <c r="X35" s="10"/>
      <c r="Y35" s="10"/>
    </row>
    <row r="36" spans="1:25">
      <c r="A36" s="565" t="s">
        <v>213</v>
      </c>
      <c r="B36" s="536"/>
      <c r="C36" s="117">
        <v>106</v>
      </c>
      <c r="D36" s="117">
        <v>41</v>
      </c>
      <c r="E36" s="117">
        <v>59</v>
      </c>
      <c r="F36" s="117">
        <v>274</v>
      </c>
      <c r="G36" s="110">
        <v>139</v>
      </c>
      <c r="H36" s="117">
        <v>212</v>
      </c>
      <c r="I36" s="117">
        <v>-4</v>
      </c>
      <c r="J36" s="117">
        <v>-105</v>
      </c>
      <c r="K36" s="117">
        <v>-62</v>
      </c>
      <c r="L36" s="637">
        <v>-103</v>
      </c>
      <c r="M36" s="637">
        <v>-66</v>
      </c>
      <c r="N36" s="637">
        <v>-108</v>
      </c>
      <c r="O36" s="10">
        <v>3</v>
      </c>
      <c r="P36" s="637">
        <v>3</v>
      </c>
      <c r="Q36" s="637">
        <v>-131</v>
      </c>
      <c r="R36" s="637">
        <v>-67</v>
      </c>
      <c r="S36" s="637">
        <v>-23</v>
      </c>
      <c r="T36" s="637"/>
      <c r="U36" s="637"/>
      <c r="V36" s="637"/>
      <c r="W36" s="10"/>
      <c r="X36" s="10"/>
      <c r="Y36" s="10"/>
    </row>
    <row r="37" spans="1:25">
      <c r="A37" s="565" t="s">
        <v>685</v>
      </c>
      <c r="B37" s="536"/>
      <c r="C37" s="117">
        <v>956</v>
      </c>
      <c r="D37" s="117">
        <v>-427</v>
      </c>
      <c r="E37" s="117">
        <v>174</v>
      </c>
      <c r="F37" s="117">
        <v>162</v>
      </c>
      <c r="G37" s="110">
        <v>1040</v>
      </c>
      <c r="H37" s="117">
        <v>-60</v>
      </c>
      <c r="I37" s="117">
        <v>-236</v>
      </c>
      <c r="J37" s="117">
        <v>-636</v>
      </c>
      <c r="K37" s="117">
        <f>974-549</f>
        <v>425</v>
      </c>
      <c r="L37" s="637">
        <f>737+86</f>
        <v>823</v>
      </c>
      <c r="M37" s="637">
        <f>321-21</f>
        <v>300</v>
      </c>
      <c r="N37" s="637">
        <v>-759</v>
      </c>
      <c r="O37" s="10">
        <f>534+277</f>
        <v>811</v>
      </c>
      <c r="P37" s="637">
        <f>-1371+51</f>
        <v>-1320</v>
      </c>
      <c r="Q37" s="637">
        <f>505+1</f>
        <v>506</v>
      </c>
      <c r="R37" s="637">
        <v>401</v>
      </c>
      <c r="S37" s="637">
        <v>1108</v>
      </c>
      <c r="T37" s="637"/>
      <c r="U37" s="637"/>
      <c r="V37" s="637"/>
      <c r="W37" s="10"/>
      <c r="X37" s="10"/>
      <c r="Y37" s="10"/>
    </row>
    <row r="38" spans="1:25">
      <c r="A38" s="80" t="s">
        <v>380</v>
      </c>
      <c r="B38" s="536"/>
      <c r="D38" s="117"/>
      <c r="H38" s="117"/>
      <c r="I38" s="117"/>
      <c r="J38" s="117"/>
      <c r="K38" s="117"/>
      <c r="L38" s="637"/>
      <c r="M38" s="637"/>
      <c r="N38" s="637"/>
      <c r="P38" s="637"/>
      <c r="Q38" s="637"/>
      <c r="R38" s="637"/>
      <c r="S38" s="637"/>
      <c r="T38" s="637"/>
      <c r="U38" s="637"/>
      <c r="V38" s="637"/>
      <c r="W38" s="10"/>
      <c r="X38" s="10"/>
      <c r="Y38" s="10"/>
    </row>
    <row r="39" spans="1:25">
      <c r="A39" s="87" t="s">
        <v>381</v>
      </c>
      <c r="B39" s="536"/>
      <c r="C39" s="508">
        <v>839</v>
      </c>
      <c r="D39" s="117">
        <v>-483</v>
      </c>
      <c r="E39" s="508">
        <v>101</v>
      </c>
      <c r="F39" s="508">
        <v>-119</v>
      </c>
      <c r="G39" s="110">
        <v>900</v>
      </c>
      <c r="H39" s="117">
        <v>-273</v>
      </c>
      <c r="I39" s="117">
        <v>-232</v>
      </c>
      <c r="J39" s="117">
        <v>-529</v>
      </c>
      <c r="K39" s="117">
        <f>1034-549</f>
        <v>485</v>
      </c>
      <c r="L39" s="637">
        <f>839+86</f>
        <v>925</v>
      </c>
      <c r="M39" s="637">
        <f>385-21</f>
        <v>364</v>
      </c>
      <c r="N39" s="637">
        <v>-651</v>
      </c>
      <c r="O39" s="10">
        <f>531+277</f>
        <v>808</v>
      </c>
      <c r="P39" s="637">
        <f>-1376+51</f>
        <v>-1325</v>
      </c>
      <c r="Q39" s="637">
        <f>635+1</f>
        <v>636</v>
      </c>
      <c r="R39" s="637">
        <v>466</v>
      </c>
      <c r="S39" s="637">
        <v>1130</v>
      </c>
      <c r="T39" s="637"/>
      <c r="U39" s="637"/>
      <c r="V39" s="637"/>
      <c r="W39" s="10"/>
      <c r="X39" s="10"/>
      <c r="Y39" s="10"/>
    </row>
    <row r="40" spans="1:25">
      <c r="A40" s="87" t="s">
        <v>382</v>
      </c>
      <c r="B40" s="536"/>
      <c r="C40" s="508">
        <v>12</v>
      </c>
      <c r="D40" s="117">
        <v>14</v>
      </c>
      <c r="E40" s="508">
        <v>14</v>
      </c>
      <c r="F40" s="508">
        <v>7</v>
      </c>
      <c r="G40" s="110">
        <v>1</v>
      </c>
      <c r="H40" s="110">
        <v>1</v>
      </c>
      <c r="I40" s="585">
        <v>0</v>
      </c>
      <c r="J40" s="117">
        <v>-2</v>
      </c>
      <c r="K40" s="117">
        <v>2</v>
      </c>
      <c r="L40" s="637">
        <v>1</v>
      </c>
      <c r="M40" s="637">
        <v>2</v>
      </c>
      <c r="N40" s="585">
        <v>0</v>
      </c>
      <c r="O40" s="585">
        <v>0</v>
      </c>
      <c r="P40" s="637">
        <v>2</v>
      </c>
      <c r="Q40" s="637">
        <v>1</v>
      </c>
      <c r="R40" s="637">
        <v>2</v>
      </c>
      <c r="S40" s="637">
        <v>1</v>
      </c>
      <c r="T40" s="637"/>
      <c r="U40" s="637"/>
      <c r="V40" s="637"/>
      <c r="W40" s="10"/>
      <c r="X40" s="10"/>
      <c r="Y40" s="10"/>
    </row>
    <row r="41" spans="1:25">
      <c r="A41" s="80" t="s">
        <v>217</v>
      </c>
      <c r="B41" s="536"/>
      <c r="C41" s="508"/>
      <c r="D41" s="117"/>
      <c r="E41" s="508"/>
      <c r="F41" s="508"/>
      <c r="H41" s="117"/>
      <c r="I41" s="117"/>
      <c r="J41" s="117"/>
      <c r="K41" s="117"/>
      <c r="L41" s="637"/>
      <c r="M41" s="637"/>
      <c r="N41" s="637"/>
      <c r="P41" s="637"/>
      <c r="Q41" s="637"/>
      <c r="R41" s="637"/>
      <c r="S41" s="637"/>
      <c r="T41" s="637"/>
      <c r="U41" s="637"/>
      <c r="V41" s="637"/>
      <c r="W41" s="10"/>
      <c r="X41" s="10"/>
      <c r="Y41" s="10"/>
    </row>
    <row r="42" spans="1:25">
      <c r="A42" s="87" t="s">
        <v>381</v>
      </c>
      <c r="B42" s="536"/>
      <c r="C42" s="75">
        <v>944</v>
      </c>
      <c r="D42" s="117">
        <v>-441</v>
      </c>
      <c r="E42" s="75">
        <v>160</v>
      </c>
      <c r="F42" s="75">
        <v>155</v>
      </c>
      <c r="G42" s="110">
        <v>1039</v>
      </c>
      <c r="H42" s="117">
        <v>-61</v>
      </c>
      <c r="I42" s="117">
        <v>-236</v>
      </c>
      <c r="J42" s="117">
        <v>-634</v>
      </c>
      <c r="K42" s="117">
        <f>972-549</f>
        <v>423</v>
      </c>
      <c r="L42" s="637">
        <f>736+86</f>
        <v>822</v>
      </c>
      <c r="M42" s="637">
        <f>319-21</f>
        <v>298</v>
      </c>
      <c r="N42" s="637">
        <v>-759</v>
      </c>
      <c r="O42" s="10">
        <f>534+277</f>
        <v>811</v>
      </c>
      <c r="P42" s="637">
        <f>-1373+51</f>
        <v>-1322</v>
      </c>
      <c r="Q42" s="637">
        <f>504+1</f>
        <v>505</v>
      </c>
      <c r="R42" s="637">
        <v>399</v>
      </c>
      <c r="S42" s="637">
        <v>1107</v>
      </c>
      <c r="T42" s="637"/>
      <c r="U42" s="637"/>
      <c r="V42" s="637"/>
      <c r="W42" s="10"/>
      <c r="X42" s="10"/>
      <c r="Y42" s="10"/>
    </row>
    <row r="43" spans="1:25">
      <c r="A43" s="97" t="s">
        <v>382</v>
      </c>
      <c r="B43" s="536"/>
      <c r="C43" s="75">
        <v>12</v>
      </c>
      <c r="D43" s="117">
        <v>14</v>
      </c>
      <c r="E43" s="75">
        <v>14</v>
      </c>
      <c r="F43" s="75">
        <v>7</v>
      </c>
      <c r="G43" s="110">
        <v>1</v>
      </c>
      <c r="H43" s="110">
        <v>1</v>
      </c>
      <c r="I43" s="585">
        <v>0</v>
      </c>
      <c r="J43" s="117">
        <v>-2</v>
      </c>
      <c r="K43" s="117">
        <v>2</v>
      </c>
      <c r="L43" s="637">
        <v>1</v>
      </c>
      <c r="M43" s="637">
        <v>2</v>
      </c>
      <c r="N43" s="585">
        <v>0</v>
      </c>
      <c r="O43" s="585">
        <v>0</v>
      </c>
      <c r="P43" s="637">
        <v>2</v>
      </c>
      <c r="Q43" s="637">
        <v>1</v>
      </c>
      <c r="R43" s="637">
        <v>2</v>
      </c>
      <c r="S43" s="637">
        <v>1</v>
      </c>
      <c r="T43" s="637"/>
      <c r="U43" s="637"/>
      <c r="V43" s="637"/>
      <c r="W43" s="10"/>
      <c r="X43" s="10"/>
      <c r="Y43" s="10"/>
    </row>
    <row r="44" spans="1:25">
      <c r="A44" s="80"/>
      <c r="B44" s="536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637"/>
      <c r="U44" s="637"/>
      <c r="V44" s="637"/>
      <c r="W44" s="10"/>
      <c r="X44" s="10"/>
      <c r="Y44" s="10"/>
    </row>
    <row r="45" spans="1:25">
      <c r="A45" s="577" t="s">
        <v>687</v>
      </c>
      <c r="B45" s="536"/>
      <c r="C45" s="99">
        <v>0.48</v>
      </c>
      <c r="D45" s="99">
        <v>-0.27999999999999997</v>
      </c>
      <c r="E45" s="99">
        <v>0.06</v>
      </c>
      <c r="F45" s="99">
        <v>-7.0000000000000007E-2</v>
      </c>
      <c r="G45" s="99">
        <v>0.51353759447877789</v>
      </c>
      <c r="H45" s="99">
        <v>-0.15577307032522925</v>
      </c>
      <c r="I45" s="99">
        <v>-0.132378579910085</v>
      </c>
      <c r="J45" s="99">
        <v>-0.30184598608808166</v>
      </c>
      <c r="K45" s="99">
        <v>0.27</v>
      </c>
      <c r="L45" s="99">
        <v>0.53</v>
      </c>
      <c r="M45" s="99">
        <v>0.21</v>
      </c>
      <c r="N45" s="99">
        <v>-0.37</v>
      </c>
      <c r="O45" s="99">
        <v>0.46</v>
      </c>
      <c r="P45" s="99">
        <v>-0.76</v>
      </c>
      <c r="Q45" s="99">
        <v>0.36232930277113773</v>
      </c>
      <c r="R45" s="99">
        <v>0.27</v>
      </c>
      <c r="S45" s="99">
        <v>0.64477497973446563</v>
      </c>
      <c r="T45" s="637"/>
      <c r="U45" s="637"/>
      <c r="V45" s="683"/>
      <c r="W45" s="10"/>
      <c r="X45" s="10"/>
      <c r="Y45" s="10"/>
    </row>
    <row r="46" spans="1:25">
      <c r="Q46" s="10"/>
      <c r="R46" s="10"/>
      <c r="T46" s="10"/>
    </row>
    <row r="47" spans="1:25" s="395" customFormat="1" ht="12.75">
      <c r="A47" s="397" t="s">
        <v>383</v>
      </c>
      <c r="B47" s="535"/>
      <c r="C47" s="535" t="s">
        <v>665</v>
      </c>
      <c r="D47" s="535"/>
      <c r="E47" s="584"/>
      <c r="F47" s="111"/>
    </row>
    <row r="48" spans="1:25" ht="74.25" customHeight="1">
      <c r="A48" s="576" t="s">
        <v>679</v>
      </c>
      <c r="F48" s="73" t="s">
        <v>667</v>
      </c>
      <c r="G48" s="73" t="s">
        <v>701</v>
      </c>
      <c r="H48" s="73" t="s">
        <v>710</v>
      </c>
      <c r="I48" s="73" t="s">
        <v>731</v>
      </c>
      <c r="J48" s="73" t="s">
        <v>889</v>
      </c>
      <c r="K48" s="73" t="s">
        <v>782</v>
      </c>
      <c r="L48" s="73" t="s">
        <v>794</v>
      </c>
      <c r="M48" s="73" t="s">
        <v>812</v>
      </c>
      <c r="N48" s="73" t="s">
        <v>843</v>
      </c>
      <c r="O48" s="73" t="s">
        <v>844</v>
      </c>
      <c r="P48" s="73" t="s">
        <v>851</v>
      </c>
      <c r="Q48" s="73" t="s">
        <v>869</v>
      </c>
      <c r="R48" s="73" t="s">
        <v>888</v>
      </c>
      <c r="S48" s="73" t="s">
        <v>924</v>
      </c>
    </row>
    <row r="49" spans="1:19">
      <c r="A49" s="80" t="s">
        <v>219</v>
      </c>
    </row>
    <row r="50" spans="1:19">
      <c r="A50" s="80" t="s">
        <v>220</v>
      </c>
    </row>
    <row r="51" spans="1:19">
      <c r="A51" s="80" t="s">
        <v>221</v>
      </c>
      <c r="F51" s="91">
        <v>29174</v>
      </c>
      <c r="G51" s="91">
        <v>29265</v>
      </c>
      <c r="H51" s="91">
        <v>29272</v>
      </c>
      <c r="I51" s="91">
        <v>29898</v>
      </c>
      <c r="J51" s="92">
        <v>29731</v>
      </c>
      <c r="K51" s="91">
        <v>30058</v>
      </c>
      <c r="L51" s="91">
        <v>30636</v>
      </c>
      <c r="M51" s="91">
        <v>31138</v>
      </c>
      <c r="N51" s="92">
        <v>31872</v>
      </c>
      <c r="O51" s="91">
        <v>32193</v>
      </c>
      <c r="P51" s="91">
        <v>31061</v>
      </c>
      <c r="Q51" s="91">
        <v>32224</v>
      </c>
      <c r="R51" s="106">
        <v>33247</v>
      </c>
      <c r="S51" s="106">
        <v>33764</v>
      </c>
    </row>
    <row r="52" spans="1:19">
      <c r="A52" s="80" t="s">
        <v>534</v>
      </c>
      <c r="F52" s="91">
        <v>1946</v>
      </c>
      <c r="G52" s="91">
        <v>1945</v>
      </c>
      <c r="H52" s="91">
        <v>1999</v>
      </c>
      <c r="I52" s="91">
        <v>1994</v>
      </c>
      <c r="J52" s="92">
        <v>1996</v>
      </c>
      <c r="K52" s="91">
        <v>2015</v>
      </c>
      <c r="L52" s="91">
        <v>2025</v>
      </c>
      <c r="M52" s="91">
        <v>2032</v>
      </c>
      <c r="N52" s="92">
        <v>2164</v>
      </c>
      <c r="O52" s="91">
        <v>2357</v>
      </c>
      <c r="P52" s="91">
        <v>2364</v>
      </c>
      <c r="Q52" s="91">
        <v>2506</v>
      </c>
      <c r="R52" s="106">
        <v>2495</v>
      </c>
      <c r="S52" s="106">
        <v>2499</v>
      </c>
    </row>
    <row r="53" spans="1:19">
      <c r="A53" s="80" t="s">
        <v>222</v>
      </c>
      <c r="F53" s="91">
        <v>26</v>
      </c>
      <c r="G53" s="91">
        <v>26</v>
      </c>
      <c r="H53" s="91">
        <v>26</v>
      </c>
      <c r="I53" s="91">
        <v>26</v>
      </c>
      <c r="J53" s="92">
        <v>26</v>
      </c>
      <c r="K53" s="91">
        <v>26</v>
      </c>
      <c r="L53" s="91">
        <v>26</v>
      </c>
      <c r="M53" s="91">
        <v>26</v>
      </c>
      <c r="N53" s="92">
        <v>26</v>
      </c>
      <c r="O53" s="91">
        <v>26</v>
      </c>
      <c r="P53" s="91">
        <v>26</v>
      </c>
      <c r="Q53" s="91">
        <v>26</v>
      </c>
      <c r="R53" s="106">
        <v>26</v>
      </c>
      <c r="S53" s="106">
        <v>26</v>
      </c>
    </row>
    <row r="54" spans="1:19" ht="28.5">
      <c r="A54" s="123" t="s">
        <v>610</v>
      </c>
      <c r="F54" s="91">
        <v>444</v>
      </c>
      <c r="G54" s="394">
        <v>0</v>
      </c>
      <c r="H54" s="394">
        <v>0</v>
      </c>
      <c r="I54" s="91">
        <v>2</v>
      </c>
      <c r="J54" s="92">
        <v>55</v>
      </c>
      <c r="K54" s="394">
        <v>0</v>
      </c>
      <c r="L54" s="394">
        <v>0</v>
      </c>
      <c r="M54" s="394">
        <v>0</v>
      </c>
      <c r="N54" s="92">
        <v>24</v>
      </c>
      <c r="O54" s="91">
        <v>12</v>
      </c>
      <c r="P54" s="91">
        <v>24</v>
      </c>
      <c r="Q54" s="91">
        <v>31</v>
      </c>
      <c r="R54" s="106">
        <v>38</v>
      </c>
      <c r="S54" s="106">
        <v>5</v>
      </c>
    </row>
    <row r="55" spans="1:19">
      <c r="A55" s="80" t="s">
        <v>223</v>
      </c>
      <c r="F55" s="91">
        <v>540</v>
      </c>
      <c r="G55" s="91">
        <v>551</v>
      </c>
      <c r="H55" s="91">
        <v>644</v>
      </c>
      <c r="I55" s="91">
        <v>630</v>
      </c>
      <c r="J55" s="92">
        <v>726</v>
      </c>
      <c r="K55" s="91">
        <v>716</v>
      </c>
      <c r="L55" s="91">
        <v>709</v>
      </c>
      <c r="M55" s="91">
        <v>696</v>
      </c>
      <c r="N55" s="92">
        <v>848</v>
      </c>
      <c r="O55" s="91">
        <v>813</v>
      </c>
      <c r="P55" s="91">
        <v>799</v>
      </c>
      <c r="Q55" s="91">
        <v>773</v>
      </c>
      <c r="R55" s="106">
        <v>768</v>
      </c>
      <c r="S55" s="106">
        <v>745</v>
      </c>
    </row>
    <row r="56" spans="1:19">
      <c r="A56" s="80" t="s">
        <v>224</v>
      </c>
      <c r="F56" s="91">
        <v>597</v>
      </c>
      <c r="G56" s="91">
        <v>631</v>
      </c>
      <c r="H56" s="91">
        <v>652</v>
      </c>
      <c r="I56" s="91">
        <v>699</v>
      </c>
      <c r="J56" s="92">
        <v>682</v>
      </c>
      <c r="K56" s="91">
        <v>716</v>
      </c>
      <c r="L56" s="91">
        <v>736</v>
      </c>
      <c r="M56" s="91">
        <v>771</v>
      </c>
      <c r="N56" s="92">
        <v>169</v>
      </c>
      <c r="O56" s="91">
        <v>191</v>
      </c>
      <c r="P56" s="91">
        <v>190</v>
      </c>
      <c r="Q56" s="91">
        <v>192</v>
      </c>
      <c r="R56" s="106">
        <v>190</v>
      </c>
      <c r="S56" s="106">
        <v>197</v>
      </c>
    </row>
    <row r="57" spans="1:19">
      <c r="A57" s="80" t="s">
        <v>225</v>
      </c>
      <c r="F57" s="91">
        <v>99</v>
      </c>
      <c r="G57" s="91">
        <v>215</v>
      </c>
      <c r="H57" s="91">
        <v>199</v>
      </c>
      <c r="I57" s="91">
        <v>198</v>
      </c>
      <c r="J57" s="92">
        <v>206</v>
      </c>
      <c r="K57" s="91">
        <v>215</v>
      </c>
      <c r="L57" s="91">
        <v>220</v>
      </c>
      <c r="M57" s="91">
        <v>222</v>
      </c>
      <c r="N57" s="92">
        <v>357</v>
      </c>
      <c r="O57" s="91">
        <v>368</v>
      </c>
      <c r="P57" s="91">
        <v>448</v>
      </c>
      <c r="Q57" s="91">
        <v>459</v>
      </c>
      <c r="R57" s="106">
        <v>479</v>
      </c>
      <c r="S57" s="106">
        <v>491</v>
      </c>
    </row>
    <row r="58" spans="1:19">
      <c r="A58" s="80" t="s">
        <v>387</v>
      </c>
      <c r="F58" s="91">
        <v>532</v>
      </c>
      <c r="G58" s="91">
        <v>554</v>
      </c>
      <c r="H58" s="91">
        <v>690</v>
      </c>
      <c r="I58" s="91">
        <v>790</v>
      </c>
      <c r="J58" s="92">
        <v>390</v>
      </c>
      <c r="K58" s="91">
        <v>340</v>
      </c>
      <c r="L58" s="91">
        <v>244</v>
      </c>
      <c r="M58" s="91">
        <v>251</v>
      </c>
      <c r="N58" s="92">
        <v>149</v>
      </c>
      <c r="O58" s="91">
        <v>206</v>
      </c>
      <c r="P58" s="91">
        <v>180</v>
      </c>
      <c r="Q58" s="91">
        <v>170</v>
      </c>
      <c r="R58" s="106">
        <v>90</v>
      </c>
      <c r="S58" s="106">
        <v>93</v>
      </c>
    </row>
    <row r="59" spans="1:19">
      <c r="A59" s="80" t="s">
        <v>226</v>
      </c>
      <c r="F59" s="91">
        <v>215</v>
      </c>
      <c r="G59" s="91">
        <v>227</v>
      </c>
      <c r="H59" s="91">
        <v>232</v>
      </c>
      <c r="I59" s="91">
        <v>228</v>
      </c>
      <c r="J59" s="92">
        <v>301</v>
      </c>
      <c r="K59" s="91">
        <v>236</v>
      </c>
      <c r="L59" s="91">
        <v>239</v>
      </c>
      <c r="M59" s="91">
        <v>242</v>
      </c>
      <c r="N59" s="92">
        <v>278</v>
      </c>
      <c r="O59" s="91">
        <v>273</v>
      </c>
      <c r="P59" s="91">
        <v>262</v>
      </c>
      <c r="Q59" s="91">
        <v>271</v>
      </c>
      <c r="R59" s="106">
        <v>259</v>
      </c>
      <c r="S59" s="106">
        <v>258</v>
      </c>
    </row>
    <row r="60" spans="1:19">
      <c r="A60" s="80" t="s">
        <v>227</v>
      </c>
      <c r="F60" s="91">
        <v>159</v>
      </c>
      <c r="G60" s="91">
        <v>173</v>
      </c>
      <c r="H60" s="91">
        <v>272</v>
      </c>
      <c r="I60" s="91">
        <v>118</v>
      </c>
      <c r="J60" s="92">
        <v>268</v>
      </c>
      <c r="K60" s="91">
        <v>268</v>
      </c>
      <c r="L60" s="91">
        <v>322</v>
      </c>
      <c r="M60" s="91">
        <v>550</v>
      </c>
      <c r="N60" s="92">
        <v>707</v>
      </c>
      <c r="O60" s="91">
        <v>782</v>
      </c>
      <c r="P60" s="91">
        <v>892</v>
      </c>
      <c r="Q60" s="91">
        <v>465</v>
      </c>
      <c r="R60" s="106">
        <v>333</v>
      </c>
      <c r="S60" s="106">
        <v>632</v>
      </c>
    </row>
    <row r="61" spans="1:19" ht="12.75">
      <c r="A61" s="84" t="s">
        <v>384</v>
      </c>
      <c r="F61" s="93">
        <v>123</v>
      </c>
      <c r="G61" s="93">
        <v>858</v>
      </c>
      <c r="H61" s="93">
        <v>1212</v>
      </c>
      <c r="I61" s="93">
        <v>1382</v>
      </c>
      <c r="J61" s="85">
        <v>672</v>
      </c>
      <c r="K61" s="93">
        <v>791</v>
      </c>
      <c r="L61" s="93">
        <v>532</v>
      </c>
      <c r="M61" s="93">
        <v>570</v>
      </c>
      <c r="N61" s="85">
        <v>759</v>
      </c>
      <c r="O61" s="93">
        <v>835</v>
      </c>
      <c r="P61" s="93">
        <v>369</v>
      </c>
      <c r="Q61" s="93">
        <v>341</v>
      </c>
      <c r="R61" s="112">
        <v>144</v>
      </c>
      <c r="S61" s="112">
        <v>156</v>
      </c>
    </row>
    <row r="62" spans="1:19" ht="12.75">
      <c r="A62" s="100"/>
      <c r="F62" s="91">
        <v>33855</v>
      </c>
      <c r="G62" s="91">
        <v>34445</v>
      </c>
      <c r="H62" s="91">
        <v>35198</v>
      </c>
      <c r="I62" s="91">
        <v>35965</v>
      </c>
      <c r="J62" s="75">
        <v>35053</v>
      </c>
      <c r="K62" s="91">
        <v>35381</v>
      </c>
      <c r="L62" s="91">
        <v>35689</v>
      </c>
      <c r="M62" s="91">
        <v>36498</v>
      </c>
      <c r="N62" s="75">
        <v>37353</v>
      </c>
      <c r="O62" s="91">
        <v>38056</v>
      </c>
      <c r="P62" s="91">
        <v>36615</v>
      </c>
      <c r="Q62" s="91">
        <v>37458</v>
      </c>
      <c r="R62" s="106">
        <v>38069</v>
      </c>
      <c r="S62" s="106">
        <v>38866</v>
      </c>
    </row>
    <row r="63" spans="1:19">
      <c r="A63" s="80" t="s">
        <v>229</v>
      </c>
      <c r="H63" s="586"/>
      <c r="I63" s="586"/>
      <c r="J63" s="72"/>
      <c r="N63" s="72"/>
      <c r="R63" s="72"/>
    </row>
    <row r="64" spans="1:19" ht="28.5">
      <c r="A64" s="123" t="s">
        <v>609</v>
      </c>
      <c r="F64" s="91">
        <v>157</v>
      </c>
      <c r="G64" s="91">
        <v>970</v>
      </c>
      <c r="H64" s="91">
        <v>576</v>
      </c>
      <c r="I64" s="91">
        <v>280</v>
      </c>
      <c r="J64" s="92">
        <v>597</v>
      </c>
      <c r="K64" s="110">
        <v>1360</v>
      </c>
      <c r="L64" s="110">
        <v>395</v>
      </c>
      <c r="M64" s="110">
        <v>190</v>
      </c>
      <c r="N64" s="75">
        <v>702</v>
      </c>
      <c r="O64" s="586">
        <v>1141</v>
      </c>
      <c r="P64" s="586">
        <v>527</v>
      </c>
      <c r="Q64" s="586">
        <v>219</v>
      </c>
      <c r="R64" s="106">
        <v>360</v>
      </c>
      <c r="S64" s="106">
        <v>1352</v>
      </c>
    </row>
    <row r="65" spans="1:19">
      <c r="A65" s="80" t="s">
        <v>230</v>
      </c>
      <c r="F65" s="91">
        <v>543</v>
      </c>
      <c r="G65" s="91">
        <v>524</v>
      </c>
      <c r="H65" s="91">
        <v>577</v>
      </c>
      <c r="I65" s="91">
        <v>695</v>
      </c>
      <c r="J65" s="92">
        <v>1118</v>
      </c>
      <c r="K65" s="110">
        <v>1709</v>
      </c>
      <c r="L65" s="110">
        <v>1638</v>
      </c>
      <c r="M65" s="110">
        <v>1631</v>
      </c>
      <c r="N65" s="75">
        <v>1483</v>
      </c>
      <c r="O65" s="586">
        <v>1404</v>
      </c>
      <c r="P65" s="586">
        <v>1184</v>
      </c>
      <c r="Q65" s="586">
        <v>1084</v>
      </c>
      <c r="R65" s="106">
        <v>937</v>
      </c>
      <c r="S65" s="106">
        <v>823</v>
      </c>
    </row>
    <row r="66" spans="1:19">
      <c r="A66" s="80" t="s">
        <v>231</v>
      </c>
      <c r="F66" s="91">
        <v>3322</v>
      </c>
      <c r="G66" s="91">
        <v>3945</v>
      </c>
      <c r="H66" s="91">
        <v>3519</v>
      </c>
      <c r="I66" s="91">
        <v>3513</v>
      </c>
      <c r="J66" s="92">
        <f>3819-44</f>
        <v>3775</v>
      </c>
      <c r="K66" s="110">
        <v>6212</v>
      </c>
      <c r="L66" s="110">
        <v>4741</v>
      </c>
      <c r="M66" s="110">
        <v>4807</v>
      </c>
      <c r="N66" s="75">
        <f>5341-660</f>
        <v>4681</v>
      </c>
      <c r="O66" s="586">
        <v>4429</v>
      </c>
      <c r="P66" s="586">
        <v>4041</v>
      </c>
      <c r="Q66" s="586">
        <v>3871</v>
      </c>
      <c r="R66" s="106">
        <v>4089</v>
      </c>
      <c r="S66" s="106">
        <v>4297</v>
      </c>
    </row>
    <row r="67" spans="1:19">
      <c r="A67" s="80" t="s">
        <v>385</v>
      </c>
      <c r="F67" s="91">
        <v>415</v>
      </c>
      <c r="G67" s="91">
        <v>515</v>
      </c>
      <c r="H67" s="91">
        <v>158</v>
      </c>
      <c r="I67" s="91">
        <v>118</v>
      </c>
      <c r="J67" s="92">
        <v>518</v>
      </c>
      <c r="K67" s="110">
        <v>580</v>
      </c>
      <c r="L67" s="110">
        <v>210</v>
      </c>
      <c r="M67" s="110">
        <v>150</v>
      </c>
      <c r="N67" s="75">
        <v>105</v>
      </c>
      <c r="O67" s="586">
        <v>110</v>
      </c>
      <c r="P67" s="586">
        <v>36</v>
      </c>
      <c r="Q67" s="586">
        <v>192</v>
      </c>
      <c r="R67" s="106">
        <v>130</v>
      </c>
      <c r="S67" s="106">
        <v>149</v>
      </c>
    </row>
    <row r="68" spans="1:19">
      <c r="A68" s="80" t="s">
        <v>232</v>
      </c>
      <c r="F68" s="110">
        <v>292</v>
      </c>
      <c r="G68" s="110">
        <v>576</v>
      </c>
      <c r="H68" s="110">
        <v>578</v>
      </c>
      <c r="I68" s="110">
        <v>634</v>
      </c>
      <c r="J68" s="92">
        <v>803</v>
      </c>
      <c r="K68" s="110">
        <v>693</v>
      </c>
      <c r="L68" s="110">
        <v>443</v>
      </c>
      <c r="M68" s="110">
        <v>544</v>
      </c>
      <c r="N68" s="75">
        <v>794</v>
      </c>
      <c r="O68" s="586">
        <v>468</v>
      </c>
      <c r="P68" s="586">
        <v>421</v>
      </c>
      <c r="Q68" s="586">
        <v>878</v>
      </c>
      <c r="R68" s="105">
        <v>459</v>
      </c>
      <c r="S68" s="105">
        <v>665</v>
      </c>
    </row>
    <row r="69" spans="1:19">
      <c r="A69" s="80" t="s">
        <v>225</v>
      </c>
      <c r="F69" s="394">
        <v>0</v>
      </c>
      <c r="G69" s="394">
        <v>0</v>
      </c>
      <c r="H69" s="394">
        <v>0</v>
      </c>
      <c r="I69" s="394">
        <v>0</v>
      </c>
      <c r="J69" s="121">
        <v>0</v>
      </c>
      <c r="K69" s="394">
        <v>0</v>
      </c>
      <c r="L69" s="394">
        <v>0</v>
      </c>
      <c r="M69" s="394">
        <v>0</v>
      </c>
      <c r="N69" s="121">
        <v>0</v>
      </c>
      <c r="O69" s="394">
        <v>0</v>
      </c>
      <c r="P69" s="394">
        <v>0</v>
      </c>
      <c r="Q69" s="105">
        <v>0</v>
      </c>
      <c r="R69" s="106">
        <v>0</v>
      </c>
      <c r="S69" s="106">
        <v>0</v>
      </c>
    </row>
    <row r="70" spans="1:19">
      <c r="A70" s="80" t="s">
        <v>688</v>
      </c>
      <c r="F70" s="91">
        <v>465</v>
      </c>
      <c r="G70" s="91">
        <v>628</v>
      </c>
      <c r="H70" s="91">
        <v>943</v>
      </c>
      <c r="I70" s="91">
        <v>1270</v>
      </c>
      <c r="J70" s="92">
        <v>459</v>
      </c>
      <c r="K70" s="110">
        <v>389</v>
      </c>
      <c r="L70" s="110">
        <v>345</v>
      </c>
      <c r="M70" s="110">
        <v>401</v>
      </c>
      <c r="N70" s="92">
        <v>275</v>
      </c>
      <c r="O70" s="586">
        <v>410</v>
      </c>
      <c r="P70" s="586">
        <v>369</v>
      </c>
      <c r="Q70" s="586">
        <v>370</v>
      </c>
      <c r="R70" s="106">
        <v>159</v>
      </c>
      <c r="S70" s="106">
        <v>177</v>
      </c>
    </row>
    <row r="71" spans="1:19">
      <c r="A71" s="80" t="s">
        <v>226</v>
      </c>
      <c r="F71" s="91">
        <v>89</v>
      </c>
      <c r="G71" s="91">
        <v>112</v>
      </c>
      <c r="H71" s="91">
        <v>121</v>
      </c>
      <c r="I71" s="91">
        <v>209</v>
      </c>
      <c r="J71" s="92">
        <v>478</v>
      </c>
      <c r="K71" s="110">
        <v>2856</v>
      </c>
      <c r="L71" s="110">
        <v>2451</v>
      </c>
      <c r="M71" s="110">
        <v>2299</v>
      </c>
      <c r="N71" s="92">
        <v>2449</v>
      </c>
      <c r="O71" s="586">
        <v>1473</v>
      </c>
      <c r="P71" s="586">
        <v>921</v>
      </c>
      <c r="Q71" s="586">
        <v>890</v>
      </c>
      <c r="R71" s="106">
        <v>743</v>
      </c>
      <c r="S71" s="106">
        <v>360</v>
      </c>
    </row>
    <row r="72" spans="1:19">
      <c r="A72" s="118" t="s">
        <v>227</v>
      </c>
      <c r="F72" s="91">
        <v>112</v>
      </c>
      <c r="G72" s="91">
        <v>152</v>
      </c>
      <c r="H72" s="91">
        <v>124</v>
      </c>
      <c r="I72" s="91">
        <v>839</v>
      </c>
      <c r="J72" s="92">
        <v>790</v>
      </c>
      <c r="K72" s="110">
        <v>489</v>
      </c>
      <c r="L72" s="110">
        <v>534</v>
      </c>
      <c r="M72" s="110">
        <v>377</v>
      </c>
      <c r="N72" s="92">
        <v>207</v>
      </c>
      <c r="O72" s="586">
        <v>397</v>
      </c>
      <c r="P72" s="586">
        <v>391</v>
      </c>
      <c r="Q72" s="586">
        <v>266</v>
      </c>
      <c r="R72" s="106">
        <v>167</v>
      </c>
      <c r="S72" s="106">
        <v>248</v>
      </c>
    </row>
    <row r="73" spans="1:19">
      <c r="A73" s="80" t="s">
        <v>233</v>
      </c>
      <c r="F73" s="91">
        <v>815</v>
      </c>
      <c r="G73" s="91">
        <v>1272</v>
      </c>
      <c r="H73" s="91">
        <v>874</v>
      </c>
      <c r="I73" s="91">
        <v>964</v>
      </c>
      <c r="J73" s="92">
        <v>1678</v>
      </c>
      <c r="K73" s="110">
        <v>1350</v>
      </c>
      <c r="L73" s="110">
        <v>1247</v>
      </c>
      <c r="M73" s="110">
        <v>1994</v>
      </c>
      <c r="N73" s="92">
        <v>1084</v>
      </c>
      <c r="O73" s="586">
        <v>1106</v>
      </c>
      <c r="P73" s="586">
        <v>489</v>
      </c>
      <c r="Q73" s="586">
        <v>565</v>
      </c>
      <c r="R73" s="106">
        <v>596</v>
      </c>
      <c r="S73" s="106">
        <v>1730</v>
      </c>
    </row>
    <row r="74" spans="1:19" ht="12.75">
      <c r="A74" s="263" t="s">
        <v>607</v>
      </c>
      <c r="F74" s="402">
        <v>10</v>
      </c>
      <c r="G74" s="402">
        <v>9</v>
      </c>
      <c r="H74" s="402">
        <v>8</v>
      </c>
      <c r="I74" s="402">
        <v>8</v>
      </c>
      <c r="J74" s="85">
        <v>7</v>
      </c>
      <c r="K74" s="402">
        <v>7</v>
      </c>
      <c r="L74" s="402">
        <v>7</v>
      </c>
      <c r="M74" s="402">
        <v>7</v>
      </c>
      <c r="N74" s="85">
        <v>5</v>
      </c>
      <c r="O74" s="402">
        <v>5</v>
      </c>
      <c r="P74" s="402">
        <v>6</v>
      </c>
      <c r="Q74" s="402">
        <v>4</v>
      </c>
      <c r="R74" s="106">
        <v>5</v>
      </c>
      <c r="S74" s="106">
        <v>5</v>
      </c>
    </row>
    <row r="75" spans="1:19">
      <c r="A75" s="80"/>
      <c r="F75" s="91">
        <v>6220</v>
      </c>
      <c r="G75" s="91">
        <v>8703</v>
      </c>
      <c r="H75" s="91">
        <v>7478</v>
      </c>
      <c r="I75" s="91">
        <v>8530</v>
      </c>
      <c r="J75" s="92">
        <f>10267-44</f>
        <v>10223</v>
      </c>
      <c r="K75" s="91">
        <v>15645</v>
      </c>
      <c r="L75" s="91">
        <v>12011</v>
      </c>
      <c r="M75" s="91">
        <v>12400</v>
      </c>
      <c r="N75" s="92">
        <f>12445-660</f>
        <v>11785</v>
      </c>
      <c r="O75" s="91">
        <v>10943</v>
      </c>
      <c r="P75" s="91">
        <v>8385</v>
      </c>
      <c r="Q75" s="91">
        <v>8339</v>
      </c>
      <c r="R75" s="113">
        <v>7645</v>
      </c>
      <c r="S75" s="113">
        <v>9806</v>
      </c>
    </row>
    <row r="76" spans="1:19">
      <c r="A76" s="80"/>
      <c r="F76" s="511"/>
      <c r="H76" s="586"/>
      <c r="I76" s="586"/>
      <c r="J76" s="92"/>
      <c r="K76" s="586"/>
      <c r="N76" s="92"/>
      <c r="Q76" s="10"/>
      <c r="R76" s="72"/>
    </row>
    <row r="77" spans="1:19" ht="12.75">
      <c r="A77" s="74" t="s">
        <v>234</v>
      </c>
      <c r="F77" s="101">
        <v>40075</v>
      </c>
      <c r="G77" s="101">
        <v>43148</v>
      </c>
      <c r="H77" s="101">
        <v>42676</v>
      </c>
      <c r="I77" s="101">
        <v>44495</v>
      </c>
      <c r="J77" s="101">
        <f>45320-44</f>
        <v>45276</v>
      </c>
      <c r="K77" s="101">
        <v>51026</v>
      </c>
      <c r="L77" s="101">
        <v>47700</v>
      </c>
      <c r="M77" s="101">
        <v>48898</v>
      </c>
      <c r="N77" s="101">
        <f>49798-660</f>
        <v>49138</v>
      </c>
      <c r="O77" s="101">
        <v>48999</v>
      </c>
      <c r="P77" s="101">
        <v>45000</v>
      </c>
      <c r="Q77" s="101">
        <v>45797</v>
      </c>
      <c r="R77" s="108">
        <v>45714</v>
      </c>
      <c r="S77" s="108">
        <v>48672</v>
      </c>
    </row>
    <row r="78" spans="1:19">
      <c r="A78" s="80"/>
      <c r="F78" s="83"/>
      <c r="G78" s="83"/>
      <c r="H78" s="83"/>
      <c r="I78" s="83"/>
      <c r="J78" s="133"/>
      <c r="K78" s="83"/>
      <c r="N78" s="133"/>
      <c r="R78" s="72"/>
    </row>
    <row r="79" spans="1:19">
      <c r="A79" s="96" t="s">
        <v>235</v>
      </c>
      <c r="H79" s="586"/>
      <c r="J79" s="72"/>
      <c r="N79" s="72"/>
      <c r="R79" s="72"/>
    </row>
    <row r="80" spans="1:19" ht="26.25">
      <c r="A80" s="252" t="s">
        <v>386</v>
      </c>
      <c r="H80" s="586"/>
      <c r="J80" s="72"/>
      <c r="N80" s="72"/>
      <c r="R80" s="72"/>
    </row>
    <row r="81" spans="1:19">
      <c r="A81" s="80" t="s">
        <v>237</v>
      </c>
      <c r="F81" s="91">
        <v>8763</v>
      </c>
      <c r="G81" s="91">
        <v>8763</v>
      </c>
      <c r="H81" s="91">
        <v>8763</v>
      </c>
      <c r="I81" s="91">
        <v>8763</v>
      </c>
      <c r="J81" s="92">
        <v>8763</v>
      </c>
      <c r="K81" s="91">
        <v>8763</v>
      </c>
      <c r="L81" s="91">
        <v>8763</v>
      </c>
      <c r="M81" s="91">
        <v>8763</v>
      </c>
      <c r="N81" s="92">
        <v>8763</v>
      </c>
      <c r="O81" s="91">
        <v>8763</v>
      </c>
      <c r="P81" s="91">
        <v>8763</v>
      </c>
      <c r="Q81" s="91">
        <v>8763</v>
      </c>
      <c r="R81" s="106">
        <v>8763</v>
      </c>
      <c r="S81" s="106">
        <v>8763</v>
      </c>
    </row>
    <row r="82" spans="1:19">
      <c r="A82" s="80" t="s">
        <v>238</v>
      </c>
      <c r="F82" s="91">
        <v>2749</v>
      </c>
      <c r="G82" s="91">
        <v>2749</v>
      </c>
      <c r="H82" s="91">
        <v>3009</v>
      </c>
      <c r="I82" s="91">
        <v>3009</v>
      </c>
      <c r="J82" s="92">
        <v>3009</v>
      </c>
      <c r="K82" s="91">
        <v>3009</v>
      </c>
      <c r="L82" s="91">
        <v>3076</v>
      </c>
      <c r="M82" s="91">
        <v>3076</v>
      </c>
      <c r="N82" s="92">
        <v>3076</v>
      </c>
      <c r="O82" s="91">
        <v>3076</v>
      </c>
      <c r="P82" s="91">
        <v>2438</v>
      </c>
      <c r="Q82" s="91">
        <v>2438</v>
      </c>
      <c r="R82" s="106">
        <v>2438</v>
      </c>
      <c r="S82" s="106">
        <v>2438</v>
      </c>
    </row>
    <row r="83" spans="1:19">
      <c r="A83" s="80" t="s">
        <v>239</v>
      </c>
      <c r="F83" s="77">
        <v>299</v>
      </c>
      <c r="G83" s="77">
        <v>428</v>
      </c>
      <c r="H83" s="77">
        <v>568</v>
      </c>
      <c r="I83" s="77">
        <v>547</v>
      </c>
      <c r="J83" s="92">
        <v>450</v>
      </c>
      <c r="K83" s="77">
        <v>377</v>
      </c>
      <c r="L83" s="77">
        <v>309</v>
      </c>
      <c r="M83" s="77">
        <v>238</v>
      </c>
      <c r="N83" s="92">
        <v>218</v>
      </c>
      <c r="O83" s="77">
        <v>212</v>
      </c>
      <c r="P83" s="77">
        <v>191</v>
      </c>
      <c r="Q83" s="77">
        <v>144</v>
      </c>
      <c r="R83" s="106">
        <v>139</v>
      </c>
      <c r="S83" s="106">
        <v>113</v>
      </c>
    </row>
    <row r="84" spans="1:19">
      <c r="A84" s="80" t="s">
        <v>211</v>
      </c>
      <c r="F84" s="91">
        <v>43</v>
      </c>
      <c r="G84" s="91">
        <v>52</v>
      </c>
      <c r="H84" s="91">
        <v>50</v>
      </c>
      <c r="I84" s="91">
        <v>66</v>
      </c>
      <c r="J84" s="92">
        <v>60</v>
      </c>
      <c r="K84" s="91">
        <v>69</v>
      </c>
      <c r="L84" s="91">
        <v>49</v>
      </c>
      <c r="M84" s="91">
        <v>52</v>
      </c>
      <c r="N84" s="92">
        <v>62</v>
      </c>
      <c r="O84" s="91">
        <v>68</v>
      </c>
      <c r="P84" s="91">
        <v>65</v>
      </c>
      <c r="Q84" s="637">
        <v>-3</v>
      </c>
      <c r="R84" s="637">
        <v>-3</v>
      </c>
      <c r="S84" s="637">
        <v>-3</v>
      </c>
    </row>
    <row r="85" spans="1:19" ht="12.75">
      <c r="A85" s="81" t="s">
        <v>415</v>
      </c>
      <c r="F85" s="402">
        <v>4637</v>
      </c>
      <c r="G85" s="402">
        <v>5538</v>
      </c>
      <c r="H85" s="402">
        <v>5081</v>
      </c>
      <c r="I85" s="402">
        <v>4850</v>
      </c>
      <c r="J85" s="85">
        <f>4299-45</f>
        <v>4254</v>
      </c>
      <c r="K85" s="402">
        <v>5335</v>
      </c>
      <c r="L85" s="402">
        <v>6092</v>
      </c>
      <c r="M85" s="402">
        <v>6480</v>
      </c>
      <c r="N85" s="85">
        <f>5796-595</f>
        <v>5201</v>
      </c>
      <c r="O85" s="402">
        <v>6330</v>
      </c>
      <c r="P85" s="402">
        <v>5619</v>
      </c>
      <c r="Q85" s="402">
        <v>6238</v>
      </c>
      <c r="R85" s="106">
        <v>6376</v>
      </c>
      <c r="S85" s="106">
        <v>7509</v>
      </c>
    </row>
    <row r="86" spans="1:19">
      <c r="A86" s="80"/>
      <c r="F86" s="91">
        <v>16491</v>
      </c>
      <c r="G86" s="91">
        <v>17530</v>
      </c>
      <c r="H86" s="91">
        <v>17471</v>
      </c>
      <c r="I86" s="91">
        <v>17235</v>
      </c>
      <c r="J86" s="92">
        <f>16581-45</f>
        <v>16536</v>
      </c>
      <c r="K86" s="91">
        <v>17553</v>
      </c>
      <c r="L86" s="91">
        <v>18289</v>
      </c>
      <c r="M86" s="91">
        <v>18609</v>
      </c>
      <c r="N86" s="92">
        <f>17915-595</f>
        <v>17320</v>
      </c>
      <c r="O86" s="91">
        <v>18449</v>
      </c>
      <c r="P86" s="91">
        <v>17076</v>
      </c>
      <c r="Q86" s="91">
        <v>17580</v>
      </c>
      <c r="R86" s="113">
        <v>17713</v>
      </c>
      <c r="S86" s="113">
        <v>18820</v>
      </c>
    </row>
    <row r="87" spans="1:19">
      <c r="A87" s="80"/>
      <c r="F87" s="80"/>
      <c r="G87" s="80"/>
      <c r="H87" s="586"/>
      <c r="I87" s="586"/>
      <c r="J87" s="92"/>
      <c r="L87" s="110"/>
      <c r="N87" s="72"/>
      <c r="Q87" s="10"/>
      <c r="R87" s="72"/>
    </row>
    <row r="88" spans="1:19">
      <c r="A88" s="80" t="s">
        <v>241</v>
      </c>
      <c r="F88" s="91">
        <v>33</v>
      </c>
      <c r="G88" s="91">
        <v>34</v>
      </c>
      <c r="H88" s="586">
        <v>32</v>
      </c>
      <c r="I88" s="586">
        <v>32</v>
      </c>
      <c r="J88" s="92">
        <v>33</v>
      </c>
      <c r="K88" s="586">
        <v>35</v>
      </c>
      <c r="L88" s="586">
        <v>36</v>
      </c>
      <c r="M88" s="586">
        <v>38</v>
      </c>
      <c r="N88" s="72">
        <v>38</v>
      </c>
      <c r="O88" s="10">
        <v>38</v>
      </c>
      <c r="P88" s="10">
        <v>38</v>
      </c>
      <c r="Q88" s="10">
        <v>39</v>
      </c>
      <c r="R88" s="72">
        <v>41</v>
      </c>
      <c r="S88" s="72">
        <v>42</v>
      </c>
    </row>
    <row r="89" spans="1:19">
      <c r="A89" s="80"/>
      <c r="F89" s="80"/>
      <c r="G89" s="80"/>
      <c r="H89" s="586"/>
      <c r="I89" s="586"/>
      <c r="J89" s="92"/>
      <c r="K89" s="586"/>
      <c r="L89" s="586"/>
      <c r="M89" s="586"/>
      <c r="N89" s="72"/>
      <c r="Q89" s="10"/>
      <c r="R89" s="72"/>
    </row>
    <row r="90" spans="1:19" ht="12.75">
      <c r="A90" s="83" t="s">
        <v>242</v>
      </c>
      <c r="F90" s="102">
        <v>16524</v>
      </c>
      <c r="G90" s="102">
        <v>17564</v>
      </c>
      <c r="H90" s="102">
        <v>17503</v>
      </c>
      <c r="I90" s="102">
        <v>17267</v>
      </c>
      <c r="J90" s="102">
        <f>16614-45</f>
        <v>16569</v>
      </c>
      <c r="K90" s="102">
        <v>17588</v>
      </c>
      <c r="L90" s="102">
        <v>18325</v>
      </c>
      <c r="M90" s="102">
        <v>18647</v>
      </c>
      <c r="N90" s="102">
        <f>17953-595</f>
        <v>17358</v>
      </c>
      <c r="O90" s="102">
        <v>18487</v>
      </c>
      <c r="P90" s="102">
        <v>17114</v>
      </c>
      <c r="Q90" s="102">
        <v>17619</v>
      </c>
      <c r="R90" s="108">
        <v>17754</v>
      </c>
      <c r="S90" s="108">
        <v>18862</v>
      </c>
    </row>
    <row r="91" spans="1:19">
      <c r="A91" s="80"/>
      <c r="F91" s="83"/>
      <c r="G91" s="83"/>
      <c r="H91" s="83"/>
      <c r="I91" s="83"/>
      <c r="J91" s="102"/>
      <c r="K91" s="83"/>
      <c r="L91" s="83"/>
      <c r="M91" s="83"/>
      <c r="N91" s="102"/>
      <c r="O91" s="83"/>
      <c r="P91" s="83"/>
      <c r="Q91" s="83"/>
      <c r="R91" s="72"/>
    </row>
    <row r="92" spans="1:19">
      <c r="A92" s="96" t="s">
        <v>243</v>
      </c>
      <c r="H92" s="586"/>
      <c r="J92" s="72"/>
      <c r="L92" s="110"/>
      <c r="N92" s="72"/>
      <c r="R92" s="72"/>
    </row>
    <row r="93" spans="1:19">
      <c r="A93" s="80" t="s">
        <v>689</v>
      </c>
      <c r="F93" s="562">
        <v>10947</v>
      </c>
      <c r="G93" s="562">
        <v>11810</v>
      </c>
      <c r="H93" s="562">
        <v>12252</v>
      </c>
      <c r="I93" s="562">
        <v>12387</v>
      </c>
      <c r="J93" s="405">
        <v>15959</v>
      </c>
      <c r="K93" s="562">
        <v>16993</v>
      </c>
      <c r="L93" s="562">
        <v>15206</v>
      </c>
      <c r="M93" s="562">
        <v>14623</v>
      </c>
      <c r="N93" s="405">
        <v>15317</v>
      </c>
      <c r="O93" s="562">
        <v>14002</v>
      </c>
      <c r="P93" s="562">
        <v>12407</v>
      </c>
      <c r="Q93" s="562">
        <v>14043</v>
      </c>
      <c r="R93" s="562">
        <v>12475</v>
      </c>
      <c r="S93" s="562">
        <v>13265</v>
      </c>
    </row>
    <row r="94" spans="1:19">
      <c r="A94" s="80" t="s">
        <v>245</v>
      </c>
      <c r="F94" s="91">
        <v>789</v>
      </c>
      <c r="G94" s="91">
        <v>803</v>
      </c>
      <c r="H94" s="91">
        <v>662</v>
      </c>
      <c r="I94" s="91">
        <v>651</v>
      </c>
      <c r="J94" s="92">
        <v>494</v>
      </c>
      <c r="K94" s="91">
        <v>511</v>
      </c>
      <c r="L94" s="91">
        <v>547</v>
      </c>
      <c r="M94" s="91">
        <v>543</v>
      </c>
      <c r="N94" s="92">
        <v>650</v>
      </c>
      <c r="O94" s="91">
        <v>672</v>
      </c>
      <c r="P94" s="91">
        <v>639</v>
      </c>
      <c r="Q94" s="91">
        <v>663</v>
      </c>
      <c r="R94" s="72">
        <v>701</v>
      </c>
      <c r="S94" s="562">
        <v>716</v>
      </c>
    </row>
    <row r="95" spans="1:19" ht="26.25">
      <c r="A95" s="252" t="s">
        <v>690</v>
      </c>
      <c r="F95" s="91">
        <v>436</v>
      </c>
      <c r="G95" s="91">
        <v>425</v>
      </c>
      <c r="H95" s="91">
        <v>290</v>
      </c>
      <c r="I95" s="91">
        <v>293</v>
      </c>
      <c r="J95" s="405">
        <v>157</v>
      </c>
      <c r="K95" s="91">
        <v>155</v>
      </c>
      <c r="L95" s="91">
        <v>161</v>
      </c>
      <c r="M95" s="91">
        <v>159</v>
      </c>
      <c r="N95" s="405">
        <v>209</v>
      </c>
      <c r="O95" s="91">
        <v>208</v>
      </c>
      <c r="P95" s="91">
        <v>206</v>
      </c>
      <c r="Q95" s="91">
        <v>240</v>
      </c>
      <c r="R95" s="72">
        <v>216</v>
      </c>
      <c r="S95" s="562">
        <v>217</v>
      </c>
    </row>
    <row r="96" spans="1:19">
      <c r="A96" s="80" t="s">
        <v>246</v>
      </c>
      <c r="F96" s="91">
        <v>568</v>
      </c>
      <c r="G96" s="91">
        <v>574</v>
      </c>
      <c r="H96" s="91">
        <v>570</v>
      </c>
      <c r="I96" s="91">
        <v>568</v>
      </c>
      <c r="J96" s="92">
        <v>571</v>
      </c>
      <c r="K96" s="91">
        <v>594</v>
      </c>
      <c r="L96" s="91">
        <v>584</v>
      </c>
      <c r="M96" s="91">
        <v>585</v>
      </c>
      <c r="N96" s="92">
        <v>607</v>
      </c>
      <c r="O96" s="91">
        <v>607</v>
      </c>
      <c r="P96" s="91">
        <v>599</v>
      </c>
      <c r="Q96" s="91">
        <v>602</v>
      </c>
      <c r="R96" s="72">
        <v>612</v>
      </c>
      <c r="S96" s="562">
        <v>767</v>
      </c>
    </row>
    <row r="97" spans="1:19">
      <c r="A97" s="80" t="s">
        <v>388</v>
      </c>
      <c r="F97" s="91">
        <v>741</v>
      </c>
      <c r="G97" s="91">
        <v>1488</v>
      </c>
      <c r="H97" s="91">
        <v>1564</v>
      </c>
      <c r="I97" s="91">
        <v>1576</v>
      </c>
      <c r="J97" s="92">
        <f>1200-10</f>
        <v>1190</v>
      </c>
      <c r="K97" s="91">
        <v>1138</v>
      </c>
      <c r="L97" s="91">
        <v>1286</v>
      </c>
      <c r="M97" s="91">
        <v>1271</v>
      </c>
      <c r="N97" s="92">
        <f>1212-140</f>
        <v>1072</v>
      </c>
      <c r="O97" s="91">
        <v>1390</v>
      </c>
      <c r="P97" s="91">
        <v>1543</v>
      </c>
      <c r="Q97" s="91">
        <v>1691</v>
      </c>
      <c r="R97" s="72">
        <v>1592</v>
      </c>
      <c r="S97" s="562">
        <v>1374</v>
      </c>
    </row>
    <row r="98" spans="1:19">
      <c r="A98" s="80" t="s">
        <v>387</v>
      </c>
      <c r="F98" s="91">
        <v>116</v>
      </c>
      <c r="G98" s="91">
        <v>41</v>
      </c>
      <c r="H98" s="91">
        <v>83</v>
      </c>
      <c r="I98" s="91">
        <v>115</v>
      </c>
      <c r="J98" s="92">
        <v>10</v>
      </c>
      <c r="K98" s="91">
        <v>19</v>
      </c>
      <c r="L98" s="91">
        <v>62</v>
      </c>
      <c r="M98" s="91">
        <v>65</v>
      </c>
      <c r="N98" s="92">
        <v>169</v>
      </c>
      <c r="O98" s="91">
        <v>216</v>
      </c>
      <c r="P98" s="91">
        <v>177</v>
      </c>
      <c r="Q98" s="91">
        <v>128</v>
      </c>
      <c r="R98" s="72">
        <v>64</v>
      </c>
      <c r="S98" s="72">
        <v>151</v>
      </c>
    </row>
    <row r="99" spans="1:19">
      <c r="A99" s="80" t="s">
        <v>249</v>
      </c>
      <c r="F99" s="91">
        <v>33</v>
      </c>
      <c r="G99" s="91">
        <v>27</v>
      </c>
      <c r="H99" s="91">
        <v>99</v>
      </c>
      <c r="I99" s="91">
        <v>101</v>
      </c>
      <c r="J99" s="92">
        <v>119</v>
      </c>
      <c r="K99" s="91">
        <v>131</v>
      </c>
      <c r="L99" s="91">
        <v>123</v>
      </c>
      <c r="M99" s="91">
        <v>106</v>
      </c>
      <c r="N99" s="92">
        <f>152+32</f>
        <v>184</v>
      </c>
      <c r="O99" s="91">
        <f>141+35</f>
        <v>176</v>
      </c>
      <c r="P99" s="91">
        <v>184</v>
      </c>
      <c r="Q99" s="91">
        <v>181</v>
      </c>
      <c r="R99" s="72">
        <v>146</v>
      </c>
      <c r="S99" s="72">
        <f>94+36</f>
        <v>130</v>
      </c>
    </row>
    <row r="100" spans="1:19" ht="12.75">
      <c r="A100" s="84" t="s">
        <v>253</v>
      </c>
      <c r="F100" s="402">
        <v>4</v>
      </c>
      <c r="G100" s="402">
        <v>1</v>
      </c>
      <c r="H100" s="402">
        <v>1</v>
      </c>
      <c r="I100" s="402">
        <v>1</v>
      </c>
      <c r="J100" s="85">
        <v>1</v>
      </c>
      <c r="K100" s="635">
        <v>0</v>
      </c>
      <c r="L100" s="402">
        <v>1</v>
      </c>
      <c r="M100" s="402">
        <v>1</v>
      </c>
      <c r="N100" s="85">
        <v>1</v>
      </c>
      <c r="O100" s="402">
        <v>1</v>
      </c>
      <c r="P100" s="402">
        <v>1</v>
      </c>
      <c r="Q100" s="402">
        <v>1</v>
      </c>
      <c r="R100" s="85">
        <v>1</v>
      </c>
      <c r="S100" s="85">
        <v>1</v>
      </c>
    </row>
    <row r="101" spans="1:19">
      <c r="A101" s="80"/>
      <c r="F101" s="91">
        <v>13634</v>
      </c>
      <c r="G101" s="91">
        <v>15169</v>
      </c>
      <c r="H101" s="91">
        <v>15521</v>
      </c>
      <c r="I101" s="91">
        <v>15692</v>
      </c>
      <c r="J101" s="92">
        <f>18511-10</f>
        <v>18501</v>
      </c>
      <c r="K101" s="91">
        <v>19541</v>
      </c>
      <c r="L101" s="91">
        <v>17970</v>
      </c>
      <c r="M101" s="91">
        <v>17353</v>
      </c>
      <c r="N101" s="92">
        <f>18349-140</f>
        <v>18209</v>
      </c>
      <c r="O101" s="91">
        <v>17272</v>
      </c>
      <c r="P101" s="91">
        <v>15756</v>
      </c>
      <c r="Q101" s="91">
        <v>17549</v>
      </c>
      <c r="R101" s="92">
        <v>15807</v>
      </c>
      <c r="S101" s="92">
        <v>16621</v>
      </c>
    </row>
    <row r="102" spans="1:19">
      <c r="A102" s="80" t="s">
        <v>250</v>
      </c>
      <c r="H102" s="586"/>
      <c r="J102" s="72"/>
      <c r="L102" s="110"/>
      <c r="N102" s="72"/>
      <c r="R102" s="72"/>
    </row>
    <row r="103" spans="1:19" ht="15.75">
      <c r="A103" s="80" t="s">
        <v>689</v>
      </c>
      <c r="F103" s="562">
        <v>2143</v>
      </c>
      <c r="G103" s="562">
        <v>3991</v>
      </c>
      <c r="H103" s="586">
        <v>2161</v>
      </c>
      <c r="I103" s="586">
        <v>2902</v>
      </c>
      <c r="J103" s="92">
        <v>528</v>
      </c>
      <c r="K103" s="586">
        <v>1448</v>
      </c>
      <c r="L103" s="586">
        <v>1357</v>
      </c>
      <c r="M103" s="586">
        <v>1408</v>
      </c>
      <c r="N103" s="640">
        <v>2098</v>
      </c>
      <c r="O103" s="586">
        <v>2711</v>
      </c>
      <c r="P103" s="586">
        <v>1918</v>
      </c>
      <c r="Q103" s="586">
        <v>2694</v>
      </c>
      <c r="R103" s="568">
        <v>2140</v>
      </c>
      <c r="S103" s="110">
        <v>2039</v>
      </c>
    </row>
    <row r="104" spans="1:19" ht="15.75">
      <c r="A104" s="80" t="s">
        <v>248</v>
      </c>
      <c r="F104" s="563">
        <v>1242</v>
      </c>
      <c r="G104" s="563">
        <v>1622</v>
      </c>
      <c r="H104" s="586">
        <v>1359</v>
      </c>
      <c r="I104" s="586">
        <v>1740</v>
      </c>
      <c r="J104" s="92">
        <f>2246+11</f>
        <v>2257</v>
      </c>
      <c r="K104" s="586">
        <v>2229</v>
      </c>
      <c r="L104" s="586">
        <v>1687</v>
      </c>
      <c r="M104" s="586">
        <v>1999</v>
      </c>
      <c r="N104" s="640">
        <f>2088+75</f>
        <v>2163</v>
      </c>
      <c r="O104" s="586">
        <v>1529</v>
      </c>
      <c r="P104" s="586">
        <v>1446</v>
      </c>
      <c r="Q104" s="586">
        <v>1481</v>
      </c>
      <c r="R104" s="568">
        <v>1955</v>
      </c>
      <c r="S104" s="110">
        <v>2261</v>
      </c>
    </row>
    <row r="105" spans="1:19" ht="15.75">
      <c r="A105" s="579" t="s">
        <v>691</v>
      </c>
      <c r="F105" s="91">
        <v>1061</v>
      </c>
      <c r="G105" s="394">
        <v>0</v>
      </c>
      <c r="H105" s="591">
        <v>0</v>
      </c>
      <c r="I105" s="591">
        <v>0</v>
      </c>
      <c r="J105" s="92">
        <v>0</v>
      </c>
      <c r="K105" s="591">
        <v>0</v>
      </c>
      <c r="L105" s="591">
        <v>0</v>
      </c>
      <c r="M105" s="591">
        <v>0</v>
      </c>
      <c r="N105" s="640">
        <v>0</v>
      </c>
      <c r="O105" s="591">
        <v>0</v>
      </c>
      <c r="P105" s="591">
        <v>0</v>
      </c>
      <c r="Q105" s="591">
        <v>0</v>
      </c>
      <c r="R105" s="114">
        <v>0</v>
      </c>
      <c r="S105" s="110">
        <v>0</v>
      </c>
    </row>
    <row r="106" spans="1:19" ht="15.75">
      <c r="A106" s="80" t="s">
        <v>251</v>
      </c>
      <c r="F106" s="91">
        <v>616</v>
      </c>
      <c r="G106" s="91">
        <v>308</v>
      </c>
      <c r="H106" s="586">
        <v>399</v>
      </c>
      <c r="I106" s="586">
        <v>450</v>
      </c>
      <c r="J106" s="92">
        <v>707</v>
      </c>
      <c r="K106" s="586">
        <v>388</v>
      </c>
      <c r="L106" s="586">
        <v>448</v>
      </c>
      <c r="M106" s="586">
        <v>491</v>
      </c>
      <c r="N106" s="640">
        <v>555</v>
      </c>
      <c r="O106" s="586">
        <v>419</v>
      </c>
      <c r="P106" s="586">
        <v>529</v>
      </c>
      <c r="Q106" s="586">
        <v>450</v>
      </c>
      <c r="R106" s="114">
        <v>592</v>
      </c>
      <c r="S106" s="110">
        <v>515</v>
      </c>
    </row>
    <row r="107" spans="1:19" ht="15.75">
      <c r="A107" s="80" t="s">
        <v>245</v>
      </c>
      <c r="F107" s="91">
        <v>104</v>
      </c>
      <c r="G107" s="91">
        <v>94</v>
      </c>
      <c r="H107" s="586">
        <v>116</v>
      </c>
      <c r="I107" s="586">
        <v>118</v>
      </c>
      <c r="J107" s="92">
        <v>92</v>
      </c>
      <c r="K107" s="586">
        <v>75</v>
      </c>
      <c r="L107" s="586">
        <v>72</v>
      </c>
      <c r="M107" s="586">
        <v>70</v>
      </c>
      <c r="N107" s="640">
        <v>104</v>
      </c>
      <c r="O107" s="586">
        <v>82</v>
      </c>
      <c r="P107" s="586">
        <v>78</v>
      </c>
      <c r="Q107" s="586">
        <v>75</v>
      </c>
      <c r="R107" s="114">
        <v>110</v>
      </c>
      <c r="S107" s="110">
        <v>88</v>
      </c>
    </row>
    <row r="108" spans="1:19" ht="26.25">
      <c r="A108" s="252" t="s">
        <v>692</v>
      </c>
      <c r="F108" s="110">
        <v>1890</v>
      </c>
      <c r="G108" s="110">
        <v>1515</v>
      </c>
      <c r="H108" s="586">
        <v>1697</v>
      </c>
      <c r="I108" s="586">
        <v>2399</v>
      </c>
      <c r="J108" s="92">
        <v>3692</v>
      </c>
      <c r="K108" s="586">
        <v>3980</v>
      </c>
      <c r="L108" s="586">
        <v>1946</v>
      </c>
      <c r="M108" s="586">
        <v>2618</v>
      </c>
      <c r="N108" s="640">
        <v>3744</v>
      </c>
      <c r="O108" s="586">
        <v>4536</v>
      </c>
      <c r="P108" s="586">
        <v>4432</v>
      </c>
      <c r="Q108" s="586">
        <v>2337</v>
      </c>
      <c r="R108" s="114">
        <v>3386</v>
      </c>
      <c r="S108" s="110">
        <v>4312</v>
      </c>
    </row>
    <row r="109" spans="1:19" ht="15.75">
      <c r="A109" s="80" t="s">
        <v>252</v>
      </c>
      <c r="F109" s="91">
        <v>619</v>
      </c>
      <c r="G109" s="91">
        <v>378</v>
      </c>
      <c r="H109" s="586">
        <v>1219</v>
      </c>
      <c r="I109" s="586">
        <v>820</v>
      </c>
      <c r="J109" s="75">
        <v>387</v>
      </c>
      <c r="K109" s="586">
        <v>328</v>
      </c>
      <c r="L109" s="586">
        <v>299</v>
      </c>
      <c r="M109" s="586">
        <v>789</v>
      </c>
      <c r="N109" s="91">
        <v>843</v>
      </c>
      <c r="O109" s="586">
        <v>390</v>
      </c>
      <c r="P109" s="586">
        <v>300</v>
      </c>
      <c r="Q109" s="586">
        <v>263</v>
      </c>
      <c r="R109" s="114">
        <v>236</v>
      </c>
      <c r="S109" s="110">
        <v>227</v>
      </c>
    </row>
    <row r="110" spans="1:19" ht="15.75">
      <c r="A110" s="80" t="s">
        <v>246</v>
      </c>
      <c r="F110" s="91">
        <v>177</v>
      </c>
      <c r="G110" s="91">
        <v>260</v>
      </c>
      <c r="H110" s="586">
        <v>335</v>
      </c>
      <c r="I110" s="586">
        <v>427</v>
      </c>
      <c r="J110" s="92">
        <v>513</v>
      </c>
      <c r="K110" s="586">
        <v>2495</v>
      </c>
      <c r="L110" s="586">
        <v>2674</v>
      </c>
      <c r="M110" s="586">
        <v>2505</v>
      </c>
      <c r="N110" s="640">
        <v>351</v>
      </c>
      <c r="O110" s="586">
        <v>298</v>
      </c>
      <c r="P110" s="586">
        <v>349</v>
      </c>
      <c r="Q110" s="586">
        <v>606</v>
      </c>
      <c r="R110" s="114">
        <v>398</v>
      </c>
      <c r="S110" s="110">
        <v>285</v>
      </c>
    </row>
    <row r="111" spans="1:19" ht="15.75">
      <c r="A111" s="80" t="s">
        <v>389</v>
      </c>
      <c r="F111" s="91">
        <v>4</v>
      </c>
      <c r="G111" s="91">
        <v>129</v>
      </c>
      <c r="H111" s="586">
        <v>75</v>
      </c>
      <c r="I111" s="586">
        <v>56</v>
      </c>
      <c r="J111" s="92">
        <v>17</v>
      </c>
      <c r="K111" s="586">
        <v>366</v>
      </c>
      <c r="L111" s="586">
        <v>68</v>
      </c>
      <c r="M111" s="586">
        <v>97</v>
      </c>
      <c r="N111" s="640">
        <v>19</v>
      </c>
      <c r="O111" s="586">
        <v>69</v>
      </c>
      <c r="P111" s="586">
        <v>11</v>
      </c>
      <c r="Q111" s="586">
        <v>11</v>
      </c>
      <c r="R111" s="114">
        <v>23</v>
      </c>
      <c r="S111" s="110">
        <v>473</v>
      </c>
    </row>
    <row r="112" spans="1:19" ht="15.75">
      <c r="A112" s="80" t="s">
        <v>693</v>
      </c>
      <c r="F112" s="91">
        <v>629</v>
      </c>
      <c r="G112" s="91">
        <v>499</v>
      </c>
      <c r="H112" s="586">
        <v>330</v>
      </c>
      <c r="I112" s="586">
        <v>345</v>
      </c>
      <c r="J112" s="92">
        <v>324</v>
      </c>
      <c r="K112" s="586">
        <v>474</v>
      </c>
      <c r="L112" s="586">
        <v>683</v>
      </c>
      <c r="M112" s="586">
        <v>807</v>
      </c>
      <c r="N112" s="640">
        <v>1030</v>
      </c>
      <c r="O112" s="586">
        <v>726</v>
      </c>
      <c r="P112" s="586">
        <v>610</v>
      </c>
      <c r="Q112" s="586">
        <v>581</v>
      </c>
      <c r="R112" s="114">
        <v>977</v>
      </c>
      <c r="S112" s="110">
        <v>1005</v>
      </c>
    </row>
    <row r="113" spans="1:22" ht="15.75">
      <c r="A113" s="80" t="s">
        <v>387</v>
      </c>
      <c r="F113" s="91">
        <v>379</v>
      </c>
      <c r="G113" s="91">
        <v>449</v>
      </c>
      <c r="H113" s="586">
        <v>648</v>
      </c>
      <c r="I113" s="586">
        <v>877</v>
      </c>
      <c r="J113" s="92">
        <v>331</v>
      </c>
      <c r="K113" s="586">
        <v>379</v>
      </c>
      <c r="L113" s="586">
        <v>586</v>
      </c>
      <c r="M113" s="586">
        <v>519</v>
      </c>
      <c r="N113" s="640">
        <v>644</v>
      </c>
      <c r="O113" s="586">
        <v>817</v>
      </c>
      <c r="P113" s="586">
        <v>862</v>
      </c>
      <c r="Q113" s="586">
        <v>555</v>
      </c>
      <c r="R113" s="114">
        <v>375</v>
      </c>
      <c r="S113" s="110">
        <v>368</v>
      </c>
    </row>
    <row r="114" spans="1:22" ht="14.65" customHeight="1">
      <c r="A114" s="80" t="s">
        <v>249</v>
      </c>
      <c r="F114" s="91">
        <v>483</v>
      </c>
      <c r="G114" s="91">
        <v>450</v>
      </c>
      <c r="H114" s="586">
        <v>605</v>
      </c>
      <c r="I114" s="586">
        <v>614</v>
      </c>
      <c r="J114" s="92">
        <v>514</v>
      </c>
      <c r="K114" s="586">
        <v>413</v>
      </c>
      <c r="L114" s="586">
        <v>435</v>
      </c>
      <c r="M114" s="586">
        <v>434</v>
      </c>
      <c r="N114" s="640">
        <v>640</v>
      </c>
      <c r="O114" s="586">
        <v>251</v>
      </c>
      <c r="P114" s="586">
        <v>335</v>
      </c>
      <c r="Q114" s="586">
        <v>360</v>
      </c>
      <c r="R114" s="114">
        <v>740</v>
      </c>
      <c r="S114" s="110">
        <v>290</v>
      </c>
    </row>
    <row r="115" spans="1:22" ht="15.75">
      <c r="A115" s="118" t="s">
        <v>253</v>
      </c>
      <c r="F115" s="91">
        <v>570</v>
      </c>
      <c r="G115" s="91">
        <v>720</v>
      </c>
      <c r="H115" s="586">
        <v>708</v>
      </c>
      <c r="I115" s="586">
        <v>787</v>
      </c>
      <c r="J115" s="92">
        <v>843</v>
      </c>
      <c r="K115" s="586">
        <v>1321</v>
      </c>
      <c r="L115" s="586">
        <v>1149</v>
      </c>
      <c r="M115" s="586">
        <v>1160</v>
      </c>
      <c r="N115" s="640">
        <v>1379</v>
      </c>
      <c r="O115" s="586">
        <v>1411</v>
      </c>
      <c r="P115" s="586">
        <v>1259</v>
      </c>
      <c r="Q115" s="586">
        <v>1216</v>
      </c>
      <c r="R115" s="114">
        <v>1221</v>
      </c>
      <c r="S115" s="110">
        <v>1326</v>
      </c>
    </row>
    <row r="116" spans="1:22" ht="26.25">
      <c r="A116" s="263" t="s">
        <v>694</v>
      </c>
      <c r="F116" s="587">
        <v>0</v>
      </c>
      <c r="G116" s="587">
        <v>0</v>
      </c>
      <c r="H116" s="587">
        <v>0</v>
      </c>
      <c r="I116" s="402">
        <v>1</v>
      </c>
      <c r="J116" s="403">
        <v>1</v>
      </c>
      <c r="K116" s="402">
        <v>1</v>
      </c>
      <c r="L116" s="402">
        <v>1</v>
      </c>
      <c r="M116" s="402">
        <v>1</v>
      </c>
      <c r="N116" s="93">
        <v>1</v>
      </c>
      <c r="O116" s="402">
        <v>1</v>
      </c>
      <c r="P116" s="402">
        <v>1</v>
      </c>
      <c r="Q116" s="115">
        <v>0</v>
      </c>
      <c r="R116" s="115">
        <v>0</v>
      </c>
      <c r="S116" s="115">
        <v>0</v>
      </c>
    </row>
    <row r="117" spans="1:22" ht="12.75">
      <c r="A117" s="96"/>
      <c r="F117" s="91">
        <v>9917</v>
      </c>
      <c r="G117" s="91">
        <v>10415</v>
      </c>
      <c r="H117" s="91">
        <v>9652</v>
      </c>
      <c r="I117" s="91">
        <v>11536</v>
      </c>
      <c r="J117" s="75">
        <f>10195+11</f>
        <v>10206</v>
      </c>
      <c r="K117" s="91">
        <v>13897</v>
      </c>
      <c r="L117" s="91">
        <v>11405</v>
      </c>
      <c r="M117" s="91">
        <v>12898</v>
      </c>
      <c r="N117" s="75">
        <f>13496+75</f>
        <v>13571</v>
      </c>
      <c r="O117" s="91">
        <v>13240</v>
      </c>
      <c r="P117" s="91">
        <v>12130</v>
      </c>
      <c r="Q117" s="91">
        <v>10629</v>
      </c>
      <c r="R117" s="106">
        <v>12153</v>
      </c>
      <c r="S117" s="106">
        <v>13189</v>
      </c>
    </row>
    <row r="118" spans="1:22">
      <c r="A118" s="80"/>
      <c r="J118" s="72"/>
      <c r="L118" s="110"/>
      <c r="N118" s="72"/>
      <c r="Q118" s="10"/>
      <c r="R118" s="72"/>
      <c r="S118" s="72"/>
    </row>
    <row r="119" spans="1:22" ht="12.75">
      <c r="A119" s="83" t="s">
        <v>254</v>
      </c>
      <c r="F119" s="102">
        <v>23551</v>
      </c>
      <c r="G119" s="102">
        <v>25584</v>
      </c>
      <c r="H119" s="102">
        <v>25173</v>
      </c>
      <c r="I119" s="102">
        <v>27228</v>
      </c>
      <c r="J119" s="102">
        <f>28706+1</f>
        <v>28707</v>
      </c>
      <c r="K119" s="102">
        <v>33438</v>
      </c>
      <c r="L119" s="102">
        <v>29375</v>
      </c>
      <c r="M119" s="102">
        <v>30251</v>
      </c>
      <c r="N119" s="102">
        <f>31845-65</f>
        <v>31780</v>
      </c>
      <c r="O119" s="102">
        <v>30512</v>
      </c>
      <c r="P119" s="102">
        <v>27886</v>
      </c>
      <c r="Q119" s="102">
        <v>28178</v>
      </c>
      <c r="R119" s="113">
        <v>27960</v>
      </c>
      <c r="S119" s="113">
        <v>29810</v>
      </c>
    </row>
    <row r="120" spans="1:22">
      <c r="A120" s="80"/>
      <c r="F120" s="80"/>
      <c r="G120" s="80"/>
      <c r="H120" s="80"/>
      <c r="I120" s="80"/>
      <c r="J120" s="92"/>
      <c r="K120" s="80"/>
      <c r="L120" s="80"/>
      <c r="M120" s="80"/>
      <c r="N120" s="92"/>
      <c r="O120" s="80"/>
      <c r="P120" s="80"/>
      <c r="Q120" s="80"/>
      <c r="R120" s="113"/>
      <c r="S120" s="113"/>
    </row>
    <row r="121" spans="1:22" ht="12.75">
      <c r="A121" s="74" t="s">
        <v>255</v>
      </c>
      <c r="F121" s="101">
        <v>40075</v>
      </c>
      <c r="G121" s="101">
        <v>43148</v>
      </c>
      <c r="H121" s="101">
        <v>42676</v>
      </c>
      <c r="I121" s="101">
        <v>44495</v>
      </c>
      <c r="J121" s="101">
        <f>45320-44</f>
        <v>45276</v>
      </c>
      <c r="K121" s="101">
        <v>51026</v>
      </c>
      <c r="L121" s="101">
        <v>47700</v>
      </c>
      <c r="M121" s="101">
        <v>48898</v>
      </c>
      <c r="N121" s="101">
        <f>49798-660</f>
        <v>49138</v>
      </c>
      <c r="O121" s="101">
        <v>48999</v>
      </c>
      <c r="P121" s="101">
        <v>45000</v>
      </c>
      <c r="Q121" s="101">
        <v>45797</v>
      </c>
      <c r="R121" s="116">
        <v>45714</v>
      </c>
      <c r="S121" s="116">
        <v>48672</v>
      </c>
    </row>
    <row r="122" spans="1:22">
      <c r="I122" s="586"/>
      <c r="J122" s="586"/>
    </row>
    <row r="123" spans="1:22">
      <c r="A123" s="566" t="s">
        <v>256</v>
      </c>
      <c r="C123" s="535" t="s">
        <v>665</v>
      </c>
      <c r="D123" s="535"/>
      <c r="E123" s="584"/>
      <c r="F123" s="111"/>
      <c r="G123" s="111"/>
      <c r="H123" s="111"/>
      <c r="I123" s="111"/>
      <c r="J123" s="692"/>
      <c r="K123" s="693"/>
      <c r="L123" s="693"/>
      <c r="M123" s="693"/>
      <c r="N123" s="693"/>
      <c r="O123" s="693"/>
    </row>
    <row r="124" spans="1:22">
      <c r="A124" s="599"/>
      <c r="B124" s="600"/>
      <c r="C124" s="601"/>
      <c r="D124" s="601"/>
      <c r="E124" s="601"/>
      <c r="F124" s="601"/>
      <c r="G124" s="601"/>
      <c r="H124" s="601"/>
      <c r="I124" s="601"/>
      <c r="N124" s="694"/>
      <c r="O124" s="695"/>
    </row>
    <row r="125" spans="1:22" ht="95.25" customHeight="1">
      <c r="A125" s="567" t="s">
        <v>679</v>
      </c>
      <c r="C125" s="73" t="s">
        <v>626</v>
      </c>
      <c r="D125" s="73" t="s">
        <v>640</v>
      </c>
      <c r="E125" s="73" t="s">
        <v>653</v>
      </c>
      <c r="F125" s="73" t="s">
        <v>755</v>
      </c>
      <c r="G125" s="73" t="s">
        <v>781</v>
      </c>
      <c r="H125" s="73" t="s">
        <v>709</v>
      </c>
      <c r="I125" s="73" t="s">
        <v>732</v>
      </c>
      <c r="J125" s="73" t="s">
        <v>754</v>
      </c>
      <c r="K125" s="73" t="s">
        <v>895</v>
      </c>
      <c r="L125" s="73" t="s">
        <v>853</v>
      </c>
      <c r="M125" s="73" t="s">
        <v>896</v>
      </c>
      <c r="N125" s="73" t="s">
        <v>890</v>
      </c>
      <c r="O125" s="73" t="s">
        <v>897</v>
      </c>
      <c r="P125" s="73" t="s">
        <v>898</v>
      </c>
      <c r="Q125" s="73" t="s">
        <v>899</v>
      </c>
      <c r="R125" s="73" t="s">
        <v>900</v>
      </c>
      <c r="S125" s="681" t="s">
        <v>923</v>
      </c>
    </row>
    <row r="126" spans="1:22" s="398" customFormat="1" ht="12.75">
      <c r="A126" s="74" t="s">
        <v>257</v>
      </c>
      <c r="B126" s="537"/>
      <c r="K126" s="510"/>
      <c r="L126" s="510"/>
      <c r="M126" s="510"/>
      <c r="N126" s="510"/>
      <c r="O126" s="510"/>
      <c r="P126" s="510"/>
    </row>
    <row r="127" spans="1:22">
      <c r="A127" s="565" t="s">
        <v>396</v>
      </c>
      <c r="B127" s="536"/>
      <c r="C127" s="117">
        <v>1097</v>
      </c>
      <c r="D127" s="117">
        <v>-500</v>
      </c>
      <c r="E127" s="117">
        <v>191</v>
      </c>
      <c r="F127" s="117">
        <v>-113</v>
      </c>
      <c r="G127" s="117">
        <v>1272</v>
      </c>
      <c r="H127" s="117">
        <v>-410</v>
      </c>
      <c r="I127" s="117">
        <v>-214</v>
      </c>
      <c r="J127" s="117">
        <v>-515</v>
      </c>
      <c r="K127" s="117">
        <f>1392-677</f>
        <v>715</v>
      </c>
      <c r="L127" s="117">
        <f>1134+106</f>
        <v>1240</v>
      </c>
      <c r="M127" s="637">
        <f>489-27</f>
        <v>462</v>
      </c>
      <c r="N127" s="637">
        <f>-713-680+598</f>
        <v>-795</v>
      </c>
      <c r="O127" s="637">
        <f>732+342</f>
        <v>1074</v>
      </c>
      <c r="P127" s="637">
        <f>-751+62</f>
        <v>-689</v>
      </c>
      <c r="Q127" s="637">
        <f>750+2</f>
        <v>752</v>
      </c>
      <c r="R127" s="637">
        <f>1155-407+1</f>
        <v>749</v>
      </c>
      <c r="S127" s="117">
        <v>1449</v>
      </c>
      <c r="T127" s="117"/>
      <c r="U127" s="117"/>
      <c r="V127" s="117"/>
    </row>
    <row r="128" spans="1:22">
      <c r="A128" s="408" t="s">
        <v>695</v>
      </c>
      <c r="B128" s="536"/>
      <c r="C128" s="117">
        <v>-19</v>
      </c>
      <c r="D128" s="117">
        <v>-3</v>
      </c>
      <c r="E128" s="117">
        <v>-19</v>
      </c>
      <c r="F128" s="117">
        <v>9</v>
      </c>
      <c r="G128" s="117">
        <v>-27</v>
      </c>
      <c r="H128" s="117">
        <v>-22</v>
      </c>
      <c r="I128" s="117">
        <v>-68</v>
      </c>
      <c r="J128" s="117">
        <v>-11</v>
      </c>
      <c r="K128" s="117">
        <v>-27</v>
      </c>
      <c r="L128" s="117">
        <v>-36</v>
      </c>
      <c r="M128" s="637">
        <v>-32</v>
      </c>
      <c r="N128" s="637">
        <v>582</v>
      </c>
      <c r="O128" s="637">
        <v>-14</v>
      </c>
      <c r="P128" s="637">
        <v>-1</v>
      </c>
      <c r="Q128" s="637">
        <v>-70</v>
      </c>
      <c r="R128" s="637">
        <v>1</v>
      </c>
      <c r="S128" s="117">
        <v>-7</v>
      </c>
      <c r="T128" s="117"/>
      <c r="U128" s="117"/>
      <c r="V128" s="117"/>
    </row>
    <row r="129" spans="1:22">
      <c r="A129" s="408" t="s">
        <v>417</v>
      </c>
      <c r="B129" s="536"/>
      <c r="C129" s="117">
        <v>521</v>
      </c>
      <c r="D129" s="117">
        <v>535</v>
      </c>
      <c r="E129" s="117">
        <f>512+1</f>
        <v>513</v>
      </c>
      <c r="F129" s="117">
        <v>532</v>
      </c>
      <c r="G129" s="117">
        <v>537</v>
      </c>
      <c r="H129" s="117">
        <v>562</v>
      </c>
      <c r="I129" s="117">
        <v>536</v>
      </c>
      <c r="J129" s="117">
        <v>581</v>
      </c>
      <c r="K129" s="117">
        <v>533</v>
      </c>
      <c r="L129" s="117">
        <v>553</v>
      </c>
      <c r="M129" s="637">
        <v>556</v>
      </c>
      <c r="N129" s="637">
        <v>584</v>
      </c>
      <c r="O129" s="637">
        <v>596</v>
      </c>
      <c r="P129" s="637">
        <v>607</v>
      </c>
      <c r="Q129" s="637">
        <v>579</v>
      </c>
      <c r="R129" s="637">
        <v>567</v>
      </c>
      <c r="S129" s="117">
        <v>614</v>
      </c>
      <c r="T129" s="117"/>
      <c r="U129" s="117"/>
      <c r="V129" s="117"/>
    </row>
    <row r="130" spans="1:22" ht="25.5">
      <c r="A130" s="408" t="s">
        <v>696</v>
      </c>
      <c r="B130" s="536"/>
      <c r="C130" s="394">
        <v>0</v>
      </c>
      <c r="D130" s="117">
        <v>1115</v>
      </c>
      <c r="E130" s="117">
        <v>-3</v>
      </c>
      <c r="F130" s="117">
        <v>17</v>
      </c>
      <c r="G130" s="394">
        <v>0</v>
      </c>
      <c r="H130" s="117">
        <v>85</v>
      </c>
      <c r="I130" s="394">
        <v>0</v>
      </c>
      <c r="J130" s="117">
        <v>129</v>
      </c>
      <c r="K130" s="117">
        <v>-2</v>
      </c>
      <c r="L130" s="637">
        <f>1-K130</f>
        <v>3</v>
      </c>
      <c r="M130" s="394">
        <v>-1</v>
      </c>
      <c r="N130" s="637">
        <v>26</v>
      </c>
      <c r="O130" s="637">
        <v>3</v>
      </c>
      <c r="P130" s="637">
        <v>1641</v>
      </c>
      <c r="Q130" s="637">
        <v>-4</v>
      </c>
      <c r="R130" s="637">
        <v>-91</v>
      </c>
      <c r="S130" s="394">
        <v>0</v>
      </c>
      <c r="T130" s="117"/>
      <c r="U130" s="117"/>
      <c r="V130" s="117"/>
    </row>
    <row r="131" spans="1:22" ht="25.5">
      <c r="A131" s="408" t="s">
        <v>748</v>
      </c>
      <c r="B131" s="536"/>
      <c r="C131" s="394"/>
      <c r="D131" s="117"/>
      <c r="E131" s="117"/>
      <c r="F131" s="117">
        <v>0</v>
      </c>
      <c r="G131" s="394"/>
      <c r="H131" s="117"/>
      <c r="I131" s="117"/>
      <c r="J131" s="117">
        <v>460</v>
      </c>
      <c r="K131" s="394">
        <v>0</v>
      </c>
      <c r="L131" s="394">
        <v>0</v>
      </c>
      <c r="M131" s="394">
        <v>0</v>
      </c>
      <c r="N131" s="394">
        <v>0</v>
      </c>
      <c r="O131" s="394">
        <v>0</v>
      </c>
      <c r="P131" s="394">
        <v>0</v>
      </c>
      <c r="Q131" s="394">
        <v>0</v>
      </c>
      <c r="R131" s="394">
        <v>0</v>
      </c>
      <c r="S131" s="394">
        <v>0</v>
      </c>
      <c r="T131" s="117"/>
      <c r="U131" s="117"/>
      <c r="V131" s="117"/>
    </row>
    <row r="132" spans="1:22">
      <c r="A132" s="408" t="s">
        <v>697</v>
      </c>
      <c r="B132" s="536"/>
      <c r="C132" s="117">
        <v>2</v>
      </c>
      <c r="D132" s="585">
        <v>0</v>
      </c>
      <c r="E132" s="117">
        <f>-1-2</f>
        <v>-3</v>
      </c>
      <c r="F132" s="117">
        <v>0</v>
      </c>
      <c r="G132" s="117">
        <v>5</v>
      </c>
      <c r="H132" s="117">
        <v>15</v>
      </c>
      <c r="I132" s="117">
        <v>2</v>
      </c>
      <c r="J132" s="117">
        <v>-8</v>
      </c>
      <c r="K132" s="117">
        <v>-9</v>
      </c>
      <c r="L132" s="117">
        <v>-5</v>
      </c>
      <c r="M132" s="117">
        <v>-2</v>
      </c>
      <c r="N132" s="117">
        <v>-135</v>
      </c>
      <c r="O132" s="637">
        <v>-11</v>
      </c>
      <c r="P132" s="637">
        <v>-79</v>
      </c>
      <c r="Q132" s="637">
        <v>-12</v>
      </c>
      <c r="R132" s="637">
        <v>-20</v>
      </c>
      <c r="S132" s="117">
        <v>-12</v>
      </c>
      <c r="T132" s="117"/>
      <c r="U132" s="117"/>
      <c r="V132" s="117"/>
    </row>
    <row r="133" spans="1:22">
      <c r="A133" s="408" t="s">
        <v>698</v>
      </c>
      <c r="B133" s="536"/>
      <c r="C133" s="117">
        <v>38</v>
      </c>
      <c r="D133" s="117">
        <v>-117</v>
      </c>
      <c r="E133" s="117">
        <v>95</v>
      </c>
      <c r="F133" s="117">
        <v>-26</v>
      </c>
      <c r="G133" s="117">
        <v>47</v>
      </c>
      <c r="H133" s="117">
        <v>20</v>
      </c>
      <c r="I133" s="117">
        <v>148</v>
      </c>
      <c r="J133" s="117">
        <v>-113</v>
      </c>
      <c r="K133" s="117">
        <v>-33</v>
      </c>
      <c r="L133" s="117">
        <v>-204</v>
      </c>
      <c r="M133" s="117">
        <v>160</v>
      </c>
      <c r="N133" s="117">
        <v>-253</v>
      </c>
      <c r="O133" s="637">
        <v>-42</v>
      </c>
      <c r="P133" s="637">
        <v>11</v>
      </c>
      <c r="Q133" s="637">
        <v>-30</v>
      </c>
      <c r="R133" s="637">
        <v>-6</v>
      </c>
      <c r="S133" s="117">
        <v>-60</v>
      </c>
      <c r="T133" s="117"/>
      <c r="U133" s="117"/>
      <c r="V133" s="117"/>
    </row>
    <row r="134" spans="1:22">
      <c r="A134" s="408" t="s">
        <v>418</v>
      </c>
      <c r="B134" s="536"/>
      <c r="C134" s="117">
        <v>92</v>
      </c>
      <c r="D134" s="117">
        <v>88</v>
      </c>
      <c r="E134" s="117">
        <v>96</v>
      </c>
      <c r="F134" s="117">
        <v>91</v>
      </c>
      <c r="G134" s="117">
        <v>116</v>
      </c>
      <c r="H134" s="117">
        <v>142</v>
      </c>
      <c r="I134" s="117">
        <v>152</v>
      </c>
      <c r="J134" s="117">
        <v>181</v>
      </c>
      <c r="K134" s="117">
        <v>210</v>
      </c>
      <c r="L134" s="117">
        <v>227</v>
      </c>
      <c r="M134" s="117">
        <v>186</v>
      </c>
      <c r="N134" s="117">
        <v>177</v>
      </c>
      <c r="O134" s="637">
        <v>188</v>
      </c>
      <c r="P134" s="637">
        <v>155</v>
      </c>
      <c r="Q134" s="637">
        <v>160</v>
      </c>
      <c r="R134" s="637">
        <v>170</v>
      </c>
      <c r="S134" s="117">
        <v>169</v>
      </c>
      <c r="T134" s="117"/>
      <c r="U134" s="117"/>
      <c r="V134" s="117"/>
    </row>
    <row r="135" spans="1:22">
      <c r="A135" s="408" t="s">
        <v>419</v>
      </c>
      <c r="B135" s="536"/>
      <c r="C135" s="117">
        <v>43</v>
      </c>
      <c r="D135" s="117">
        <v>100</v>
      </c>
      <c r="E135" s="117">
        <f>-104+3</f>
        <v>-101</v>
      </c>
      <c r="F135" s="117">
        <v>-133</v>
      </c>
      <c r="G135" s="117">
        <v>-11</v>
      </c>
      <c r="H135" s="117">
        <v>-15</v>
      </c>
      <c r="I135" s="117">
        <v>-160</v>
      </c>
      <c r="J135" s="117">
        <v>385</v>
      </c>
      <c r="K135" s="671">
        <f>107+2</f>
        <v>109</v>
      </c>
      <c r="L135" s="117">
        <f>385-K135</f>
        <v>276</v>
      </c>
      <c r="M135" s="117">
        <f>-149+1</f>
        <v>-148</v>
      </c>
      <c r="N135" s="117">
        <v>405</v>
      </c>
      <c r="O135" s="637">
        <f>4+43</f>
        <v>47</v>
      </c>
      <c r="P135" s="637">
        <v>48</v>
      </c>
      <c r="Q135" s="637">
        <v>-404</v>
      </c>
      <c r="R135" s="637">
        <v>31</v>
      </c>
      <c r="S135" s="117">
        <f>4+53</f>
        <v>57</v>
      </c>
      <c r="T135" s="117"/>
      <c r="U135" s="117"/>
      <c r="V135" s="117"/>
    </row>
    <row r="136" spans="1:22">
      <c r="A136" s="408" t="s">
        <v>263</v>
      </c>
      <c r="B136" s="536"/>
      <c r="C136" s="117">
        <f>87-14</f>
        <v>73</v>
      </c>
      <c r="D136" s="117">
        <f>-110-17</f>
        <v>-127</v>
      </c>
      <c r="E136" s="117">
        <f>765+51</f>
        <v>816</v>
      </c>
      <c r="F136" s="117">
        <v>447</v>
      </c>
      <c r="G136" s="117">
        <f>-1569-14</f>
        <v>-1583</v>
      </c>
      <c r="H136" s="117">
        <f>1559+20</f>
        <v>1579</v>
      </c>
      <c r="I136" s="117">
        <f>186-17</f>
        <v>169</v>
      </c>
      <c r="J136" s="117">
        <v>-651</v>
      </c>
      <c r="K136" s="117">
        <f>-2584+677</f>
        <v>-1907</v>
      </c>
      <c r="L136" s="117">
        <f>834-106</f>
        <v>728</v>
      </c>
      <c r="M136" s="117">
        <f>1741+27</f>
        <v>1768</v>
      </c>
      <c r="N136" s="117">
        <f>-1171+680-598</f>
        <v>-1089</v>
      </c>
      <c r="O136" s="637">
        <f>698-342</f>
        <v>356</v>
      </c>
      <c r="P136" s="637">
        <f>1378-62</f>
        <v>1316</v>
      </c>
      <c r="Q136" s="637">
        <f>-1670-2</f>
        <v>-1672</v>
      </c>
      <c r="R136" s="637">
        <f>1810+407-1</f>
        <v>2216</v>
      </c>
      <c r="S136" s="117">
        <v>-287</v>
      </c>
      <c r="T136" s="117"/>
      <c r="U136" s="117"/>
      <c r="V136" s="117"/>
    </row>
    <row r="137" spans="1:22">
      <c r="A137" s="408" t="s">
        <v>264</v>
      </c>
      <c r="B137" s="536"/>
      <c r="C137" s="117">
        <v>-45</v>
      </c>
      <c r="D137" s="117">
        <v>-354</v>
      </c>
      <c r="E137" s="117">
        <v>99</v>
      </c>
      <c r="F137" s="117">
        <v>-92</v>
      </c>
      <c r="G137" s="117">
        <v>-364</v>
      </c>
      <c r="H137" s="117">
        <v>122</v>
      </c>
      <c r="I137" s="117">
        <v>-147</v>
      </c>
      <c r="J137" s="117">
        <v>-151</v>
      </c>
      <c r="K137" s="117">
        <v>-234</v>
      </c>
      <c r="L137" s="117">
        <v>203</v>
      </c>
      <c r="M137" s="117">
        <v>-49</v>
      </c>
      <c r="N137" s="117">
        <v>-126</v>
      </c>
      <c r="O137" s="637">
        <v>-53</v>
      </c>
      <c r="P137" s="637">
        <v>11</v>
      </c>
      <c r="Q137" s="637">
        <v>-79</v>
      </c>
      <c r="R137" s="637">
        <v>-29</v>
      </c>
      <c r="S137" s="117">
        <v>-112</v>
      </c>
      <c r="T137" s="117"/>
      <c r="U137" s="117"/>
      <c r="V137" s="117"/>
    </row>
    <row r="138" spans="1:22" s="398" customFormat="1" ht="12.75">
      <c r="A138" s="74" t="s">
        <v>391</v>
      </c>
      <c r="B138" s="537"/>
      <c r="C138" s="102">
        <f>SUM(C127:C137)</f>
        <v>1802</v>
      </c>
      <c r="D138" s="102">
        <f t="shared" ref="D138:I138" si="0">SUM(D127:D137)</f>
        <v>737</v>
      </c>
      <c r="E138" s="102">
        <f t="shared" si="0"/>
        <v>1684</v>
      </c>
      <c r="F138" s="102">
        <f t="shared" si="0"/>
        <v>732</v>
      </c>
      <c r="G138" s="102">
        <f t="shared" si="0"/>
        <v>-8</v>
      </c>
      <c r="H138" s="102">
        <f t="shared" si="0"/>
        <v>2078</v>
      </c>
      <c r="I138" s="102">
        <f t="shared" si="0"/>
        <v>418</v>
      </c>
      <c r="J138" s="102">
        <v>287</v>
      </c>
      <c r="K138" s="102">
        <v>-645</v>
      </c>
      <c r="L138" s="102">
        <v>2985</v>
      </c>
      <c r="M138" s="102">
        <v>2900</v>
      </c>
      <c r="N138" s="102">
        <v>-624</v>
      </c>
      <c r="O138" s="398">
        <v>2144</v>
      </c>
      <c r="P138" s="398">
        <v>3020</v>
      </c>
      <c r="Q138" s="102">
        <v>-780</v>
      </c>
      <c r="R138" s="398">
        <v>3588</v>
      </c>
      <c r="S138" s="398">
        <v>1811</v>
      </c>
      <c r="T138" s="117"/>
      <c r="U138" s="117"/>
      <c r="V138" s="117"/>
    </row>
    <row r="139" spans="1:22">
      <c r="A139" s="265" t="s">
        <v>266</v>
      </c>
      <c r="F139" s="117"/>
      <c r="H139" s="117"/>
      <c r="K139" s="117"/>
      <c r="L139" s="117"/>
      <c r="O139" s="637"/>
      <c r="P139" s="637"/>
      <c r="Q139" s="637"/>
      <c r="R139" s="637"/>
      <c r="S139" s="117"/>
      <c r="T139" s="117"/>
      <c r="U139" s="117"/>
      <c r="V139" s="117"/>
    </row>
    <row r="140" spans="1:22" ht="26.25">
      <c r="A140" s="266" t="s">
        <v>397</v>
      </c>
      <c r="B140" s="536"/>
      <c r="C140" s="117">
        <v>-967</v>
      </c>
      <c r="D140" s="117">
        <v>-707</v>
      </c>
      <c r="E140" s="117">
        <f>-717-1</f>
        <v>-718</v>
      </c>
      <c r="F140" s="117">
        <v>-863</v>
      </c>
      <c r="G140" s="117">
        <v>-876</v>
      </c>
      <c r="H140" s="117">
        <v>-839</v>
      </c>
      <c r="I140" s="117">
        <v>-901</v>
      </c>
      <c r="J140" s="117">
        <v>-1263</v>
      </c>
      <c r="K140" s="117">
        <v>-1014</v>
      </c>
      <c r="L140" s="117">
        <v>-1086</v>
      </c>
      <c r="M140" s="117">
        <v>-1210</v>
      </c>
      <c r="N140" s="117">
        <v>-1531</v>
      </c>
      <c r="O140" s="637">
        <v>-1031</v>
      </c>
      <c r="P140" s="637">
        <v>-1075</v>
      </c>
      <c r="Q140" s="637">
        <v>-1384</v>
      </c>
      <c r="R140" s="637">
        <v>-1251</v>
      </c>
      <c r="S140" s="117">
        <v>-1424</v>
      </c>
      <c r="T140" s="117"/>
      <c r="U140" s="117"/>
      <c r="V140" s="117"/>
    </row>
    <row r="141" spans="1:22">
      <c r="A141" s="80" t="s">
        <v>398</v>
      </c>
      <c r="B141" s="536"/>
      <c r="C141" s="117">
        <v>-5</v>
      </c>
      <c r="D141" s="117">
        <v>-5</v>
      </c>
      <c r="E141" s="117">
        <v>-5</v>
      </c>
      <c r="F141" s="117">
        <v>-13</v>
      </c>
      <c r="G141" s="117">
        <v>-12</v>
      </c>
      <c r="H141" s="117">
        <v>-10</v>
      </c>
      <c r="I141" s="117">
        <v>-2</v>
      </c>
      <c r="J141" s="117">
        <v>-4</v>
      </c>
      <c r="K141" s="394">
        <v>0</v>
      </c>
      <c r="L141" s="117">
        <v>-6</v>
      </c>
      <c r="M141" s="117">
        <v>-9</v>
      </c>
      <c r="N141" s="117">
        <v>-1</v>
      </c>
      <c r="O141" s="394">
        <v>0</v>
      </c>
      <c r="P141" s="637">
        <v>-1</v>
      </c>
      <c r="Q141" s="637">
        <v>-4</v>
      </c>
      <c r="R141" s="394">
        <v>0</v>
      </c>
      <c r="S141" s="394">
        <v>0</v>
      </c>
      <c r="T141" s="117"/>
      <c r="U141" s="117"/>
      <c r="V141" s="117"/>
    </row>
    <row r="142" spans="1:22" ht="12.75">
      <c r="A142" s="80" t="s">
        <v>399</v>
      </c>
      <c r="B142" s="536"/>
      <c r="C142" s="394">
        <v>0</v>
      </c>
      <c r="D142" s="117">
        <v>-1</v>
      </c>
      <c r="E142" s="588">
        <v>0</v>
      </c>
      <c r="F142" s="588">
        <v>0</v>
      </c>
      <c r="G142" s="117">
        <v>-120</v>
      </c>
      <c r="H142" s="394">
        <v>0</v>
      </c>
      <c r="I142" s="394">
        <v>0</v>
      </c>
      <c r="J142" s="394">
        <v>0</v>
      </c>
      <c r="K142" s="117">
        <v>-1</v>
      </c>
      <c r="L142" s="394">
        <v>0</v>
      </c>
      <c r="M142" s="394">
        <v>0</v>
      </c>
      <c r="N142" s="117">
        <v>1</v>
      </c>
      <c r="O142" s="394">
        <v>0</v>
      </c>
      <c r="P142" s="394">
        <v>0</v>
      </c>
      <c r="Q142" s="394">
        <v>0</v>
      </c>
      <c r="R142" s="394">
        <v>0</v>
      </c>
      <c r="S142" s="394">
        <v>0</v>
      </c>
      <c r="T142" s="117"/>
      <c r="U142" s="117"/>
      <c r="V142" s="117"/>
    </row>
    <row r="143" spans="1:22" ht="12.75">
      <c r="A143" s="80" t="s">
        <v>762</v>
      </c>
      <c r="B143" s="536"/>
      <c r="C143" s="394"/>
      <c r="D143" s="117"/>
      <c r="E143" s="588"/>
      <c r="F143" s="588">
        <v>0</v>
      </c>
      <c r="G143" s="117"/>
      <c r="H143" s="394"/>
      <c r="I143" s="394"/>
      <c r="J143" s="117">
        <v>-216</v>
      </c>
      <c r="K143" s="394">
        <v>0</v>
      </c>
      <c r="L143" s="394">
        <v>0</v>
      </c>
      <c r="M143" s="394">
        <v>0</v>
      </c>
      <c r="N143" s="394">
        <v>0</v>
      </c>
      <c r="O143" s="394">
        <v>0</v>
      </c>
      <c r="P143" s="394">
        <v>0</v>
      </c>
      <c r="Q143" s="394">
        <v>0</v>
      </c>
      <c r="R143" s="394">
        <v>0</v>
      </c>
      <c r="S143" s="394">
        <v>0</v>
      </c>
      <c r="T143" s="117"/>
      <c r="U143" s="117"/>
      <c r="V143" s="117"/>
    </row>
    <row r="144" spans="1:22" ht="12.75">
      <c r="A144" s="80" t="s">
        <v>400</v>
      </c>
      <c r="B144" s="536"/>
      <c r="C144" s="394">
        <v>0</v>
      </c>
      <c r="D144" s="394">
        <v>0</v>
      </c>
      <c r="E144" s="394">
        <v>0</v>
      </c>
      <c r="F144" s="394">
        <v>0</v>
      </c>
      <c r="G144" s="394">
        <v>0</v>
      </c>
      <c r="H144" s="394">
        <v>0</v>
      </c>
      <c r="I144" s="117"/>
      <c r="J144" s="117">
        <v>-14</v>
      </c>
      <c r="K144" s="394">
        <v>0</v>
      </c>
      <c r="L144" s="394">
        <v>0</v>
      </c>
      <c r="M144" s="394">
        <v>0</v>
      </c>
      <c r="N144" s="394">
        <v>0</v>
      </c>
      <c r="O144" s="394">
        <v>0</v>
      </c>
      <c r="P144" s="394">
        <v>0</v>
      </c>
      <c r="Q144" s="394">
        <v>0</v>
      </c>
      <c r="R144" s="394">
        <v>0</v>
      </c>
      <c r="S144" s="394">
        <v>0</v>
      </c>
      <c r="T144" s="117"/>
      <c r="U144" s="117"/>
      <c r="V144" s="117"/>
    </row>
    <row r="145" spans="1:22">
      <c r="A145" s="565" t="s">
        <v>267</v>
      </c>
      <c r="B145" s="536"/>
      <c r="C145" s="78">
        <v>-972</v>
      </c>
      <c r="D145" s="513">
        <v>-713</v>
      </c>
      <c r="E145" s="78">
        <f>-722-1</f>
        <v>-723</v>
      </c>
      <c r="F145" s="78">
        <v>-876</v>
      </c>
      <c r="G145" s="78">
        <v>-1008</v>
      </c>
      <c r="H145" s="78">
        <v>-849</v>
      </c>
      <c r="I145" s="117">
        <v>-903</v>
      </c>
      <c r="J145" s="117">
        <v>-1497</v>
      </c>
      <c r="K145" s="117">
        <v>-1015</v>
      </c>
      <c r="L145" s="117">
        <v>-1092</v>
      </c>
      <c r="M145" s="117">
        <v>-1219</v>
      </c>
      <c r="N145" s="117">
        <v>-1531</v>
      </c>
      <c r="O145" s="637">
        <v>1031</v>
      </c>
      <c r="P145" s="637">
        <v>-3138</v>
      </c>
      <c r="Q145" s="637">
        <v>-1388</v>
      </c>
      <c r="R145" s="637">
        <v>-1251</v>
      </c>
      <c r="S145" s="117">
        <v>-1424</v>
      </c>
      <c r="T145" s="117"/>
      <c r="U145" s="117"/>
      <c r="V145" s="117"/>
    </row>
    <row r="146" spans="1:22" ht="26.25">
      <c r="A146" s="252" t="s">
        <v>412</v>
      </c>
      <c r="B146" s="536"/>
      <c r="C146" s="75">
        <v>18</v>
      </c>
      <c r="D146" s="117">
        <v>5</v>
      </c>
      <c r="E146" s="75">
        <v>2</v>
      </c>
      <c r="F146" s="75">
        <v>51</v>
      </c>
      <c r="G146" s="75">
        <v>5</v>
      </c>
      <c r="H146" s="75">
        <v>9</v>
      </c>
      <c r="I146" s="117">
        <v>4</v>
      </c>
      <c r="J146" s="117">
        <v>10</v>
      </c>
      <c r="K146" s="117">
        <v>3</v>
      </c>
      <c r="L146" s="117">
        <v>8</v>
      </c>
      <c r="M146" s="117">
        <v>8</v>
      </c>
      <c r="N146" s="117">
        <v>44</v>
      </c>
      <c r="O146" s="637">
        <v>6</v>
      </c>
      <c r="P146" s="637">
        <v>8</v>
      </c>
      <c r="Q146" s="637">
        <v>7</v>
      </c>
      <c r="R146" s="637">
        <v>4</v>
      </c>
      <c r="S146" s="117">
        <v>3</v>
      </c>
      <c r="T146" s="117"/>
      <c r="U146" s="117"/>
      <c r="V146" s="117"/>
    </row>
    <row r="147" spans="1:22">
      <c r="A147" s="80" t="s">
        <v>402</v>
      </c>
      <c r="B147" s="536"/>
      <c r="C147" s="394">
        <v>0</v>
      </c>
      <c r="D147" s="394">
        <v>0</v>
      </c>
      <c r="E147" s="75">
        <v>46</v>
      </c>
      <c r="F147" s="75">
        <v>1</v>
      </c>
      <c r="G147" s="394">
        <v>0</v>
      </c>
      <c r="H147" s="394">
        <v>0</v>
      </c>
      <c r="I147" s="117">
        <v>49</v>
      </c>
      <c r="J147" s="117">
        <v>23</v>
      </c>
      <c r="K147" s="394">
        <v>0</v>
      </c>
      <c r="L147" s="394">
        <v>0</v>
      </c>
      <c r="M147" s="117">
        <v>1</v>
      </c>
      <c r="N147" s="117">
        <v>-1</v>
      </c>
      <c r="O147" s="394">
        <v>0</v>
      </c>
      <c r="P147" s="637">
        <v>0</v>
      </c>
      <c r="Q147" s="637">
        <v>2</v>
      </c>
      <c r="R147" s="637">
        <v>-2</v>
      </c>
      <c r="S147" s="394">
        <v>0</v>
      </c>
      <c r="T147" s="117"/>
      <c r="U147" s="117"/>
      <c r="V147" s="117"/>
    </row>
    <row r="148" spans="1:22">
      <c r="A148" s="80" t="s">
        <v>403</v>
      </c>
      <c r="B148" s="536"/>
      <c r="C148" s="75">
        <v>57</v>
      </c>
      <c r="D148" s="117">
        <v>9</v>
      </c>
      <c r="E148" s="75">
        <v>-9</v>
      </c>
      <c r="F148" s="75">
        <v>1</v>
      </c>
      <c r="G148" s="394">
        <v>0</v>
      </c>
      <c r="H148" s="75">
        <v>2</v>
      </c>
      <c r="I148" s="117">
        <v>3</v>
      </c>
      <c r="J148" s="117">
        <v>176</v>
      </c>
      <c r="K148" s="117">
        <v>1</v>
      </c>
      <c r="L148" s="117">
        <v>1</v>
      </c>
      <c r="M148" s="117">
        <v>-1</v>
      </c>
      <c r="N148" s="117">
        <v>-1</v>
      </c>
      <c r="O148" s="394">
        <v>0</v>
      </c>
      <c r="P148" s="637">
        <v>0</v>
      </c>
      <c r="Q148" s="637">
        <v>1</v>
      </c>
      <c r="R148" s="637">
        <v>2</v>
      </c>
      <c r="S148" s="394">
        <v>0</v>
      </c>
      <c r="T148" s="117"/>
      <c r="U148" s="117"/>
      <c r="V148" s="117"/>
    </row>
    <row r="149" spans="1:22">
      <c r="A149" s="565" t="s">
        <v>268</v>
      </c>
      <c r="B149" s="536"/>
      <c r="C149" s="78">
        <v>75</v>
      </c>
      <c r="D149" s="513">
        <v>14</v>
      </c>
      <c r="E149" s="78">
        <v>39</v>
      </c>
      <c r="F149" s="78">
        <v>53</v>
      </c>
      <c r="G149" s="78">
        <v>5</v>
      </c>
      <c r="H149" s="78">
        <v>11</v>
      </c>
      <c r="I149" s="78">
        <v>56</v>
      </c>
      <c r="J149" s="78">
        <v>209</v>
      </c>
      <c r="K149" s="117">
        <v>4</v>
      </c>
      <c r="L149" s="117">
        <v>9</v>
      </c>
      <c r="M149" s="117">
        <v>8</v>
      </c>
      <c r="N149" s="117">
        <v>42</v>
      </c>
      <c r="O149" s="637">
        <v>6</v>
      </c>
      <c r="P149" s="637">
        <v>8</v>
      </c>
      <c r="Q149" s="684">
        <v>10</v>
      </c>
      <c r="R149" s="684">
        <v>4</v>
      </c>
      <c r="S149" s="684">
        <v>3</v>
      </c>
      <c r="T149" s="117"/>
      <c r="U149" s="117"/>
      <c r="V149" s="117"/>
    </row>
    <row r="150" spans="1:22" s="398" customFormat="1" ht="12.75">
      <c r="A150" s="74" t="s">
        <v>404</v>
      </c>
      <c r="B150" s="537"/>
      <c r="C150" s="101">
        <v>-897</v>
      </c>
      <c r="D150" s="101">
        <v>-699</v>
      </c>
      <c r="E150" s="101">
        <f>-682-2</f>
        <v>-684</v>
      </c>
      <c r="F150" s="101">
        <v>-823</v>
      </c>
      <c r="G150" s="101">
        <v>-1003</v>
      </c>
      <c r="H150" s="101">
        <v>-838</v>
      </c>
      <c r="I150" s="101">
        <v>-847</v>
      </c>
      <c r="J150" s="101">
        <v>-1288</v>
      </c>
      <c r="K150" s="101">
        <v>-1011</v>
      </c>
      <c r="L150" s="101">
        <v>-1083</v>
      </c>
      <c r="M150" s="101">
        <v>-1211</v>
      </c>
      <c r="N150" s="101">
        <v>-1489</v>
      </c>
      <c r="O150" s="101">
        <v>-1025</v>
      </c>
      <c r="P150" s="101">
        <v>-1068</v>
      </c>
      <c r="Q150" s="101">
        <v>-1378</v>
      </c>
      <c r="R150" s="101">
        <v>-1247</v>
      </c>
      <c r="S150" s="101">
        <v>-1421</v>
      </c>
      <c r="T150" s="117"/>
      <c r="U150" s="117"/>
      <c r="V150" s="117"/>
    </row>
    <row r="151" spans="1:22">
      <c r="A151" s="565" t="s">
        <v>270</v>
      </c>
      <c r="H151" s="117"/>
      <c r="I151" s="117"/>
      <c r="J151" s="117"/>
      <c r="K151" s="117"/>
      <c r="L151" s="117"/>
      <c r="O151" s="394"/>
      <c r="P151" s="637"/>
      <c r="Q151" s="117"/>
      <c r="R151" s="117"/>
      <c r="S151" s="117"/>
      <c r="T151" s="117"/>
      <c r="U151" s="117"/>
      <c r="V151" s="117"/>
    </row>
    <row r="152" spans="1:22" ht="12.75">
      <c r="A152" s="408" t="s">
        <v>427</v>
      </c>
      <c r="B152" s="538"/>
      <c r="C152" s="509">
        <v>0</v>
      </c>
      <c r="D152" s="509">
        <v>0</v>
      </c>
      <c r="E152" s="509">
        <v>0</v>
      </c>
      <c r="F152" s="117">
        <v>-170</v>
      </c>
      <c r="H152" s="117"/>
      <c r="I152" s="117"/>
      <c r="J152" s="117">
        <v>-170</v>
      </c>
      <c r="K152" s="394">
        <v>0</v>
      </c>
      <c r="L152" s="394">
        <f>'Hist. dane półr. - H figures'!G152-'Hist. dane kwart. - Q figures'!K152</f>
        <v>0</v>
      </c>
      <c r="M152" s="394">
        <v>0</v>
      </c>
      <c r="N152" s="117">
        <v>-170</v>
      </c>
      <c r="O152" s="394">
        <v>0</v>
      </c>
      <c r="P152" s="394">
        <v>0</v>
      </c>
      <c r="Q152" s="394">
        <v>0</v>
      </c>
      <c r="R152" s="117">
        <v>-982</v>
      </c>
      <c r="S152" s="394">
        <v>0</v>
      </c>
      <c r="T152" s="117"/>
      <c r="U152" s="117"/>
      <c r="V152" s="117"/>
    </row>
    <row r="153" spans="1:22">
      <c r="A153" s="408" t="s">
        <v>428</v>
      </c>
      <c r="B153" s="538"/>
      <c r="C153" s="117">
        <v>-736</v>
      </c>
      <c r="D153" s="117">
        <v>-1072</v>
      </c>
      <c r="E153" s="117">
        <v>-1036</v>
      </c>
      <c r="F153" s="117">
        <v>-622</v>
      </c>
      <c r="G153" s="117">
        <v>-1187</v>
      </c>
      <c r="H153" s="117">
        <v>-1922</v>
      </c>
      <c r="I153" s="117">
        <v>-686</v>
      </c>
      <c r="J153" s="117">
        <v>-2272</v>
      </c>
      <c r="K153" s="117">
        <v>-1726</v>
      </c>
      <c r="L153" s="117">
        <v>-2473</v>
      </c>
      <c r="M153" s="117">
        <v>-1237</v>
      </c>
      <c r="N153" s="117">
        <v>-1322</v>
      </c>
      <c r="O153" s="637">
        <v>-1086</v>
      </c>
      <c r="P153" s="637">
        <v>-2683</v>
      </c>
      <c r="Q153" s="117">
        <v>-1590</v>
      </c>
      <c r="R153" s="117">
        <v>-3715</v>
      </c>
      <c r="S153" s="117">
        <v>-795</v>
      </c>
      <c r="T153" s="117"/>
      <c r="U153" s="117"/>
      <c r="V153" s="117"/>
    </row>
    <row r="154" spans="1:22" ht="12.75">
      <c r="A154" s="408" t="s">
        <v>711</v>
      </c>
      <c r="B154" s="538"/>
      <c r="C154" s="117">
        <v>0</v>
      </c>
      <c r="D154" s="117">
        <v>0</v>
      </c>
      <c r="E154" s="117">
        <v>0</v>
      </c>
      <c r="F154" s="117">
        <v>0</v>
      </c>
      <c r="G154" s="117">
        <v>-1061</v>
      </c>
      <c r="H154" s="394">
        <v>0</v>
      </c>
      <c r="I154" s="394">
        <v>0</v>
      </c>
      <c r="J154" s="394">
        <v>0</v>
      </c>
      <c r="K154" s="394">
        <v>0</v>
      </c>
      <c r="L154" s="394">
        <v>0</v>
      </c>
      <c r="M154" s="394">
        <v>0</v>
      </c>
      <c r="N154" s="394">
        <v>0</v>
      </c>
      <c r="O154" s="394">
        <v>0</v>
      </c>
      <c r="P154" s="394">
        <v>0</v>
      </c>
      <c r="Q154" s="394">
        <v>0</v>
      </c>
      <c r="R154" s="394">
        <v>0</v>
      </c>
      <c r="S154" s="394">
        <v>0</v>
      </c>
      <c r="T154" s="117"/>
      <c r="U154" s="117"/>
      <c r="V154" s="117"/>
    </row>
    <row r="155" spans="1:22">
      <c r="A155" s="408" t="s">
        <v>429</v>
      </c>
      <c r="B155" s="538"/>
      <c r="C155" s="117">
        <v>-22</v>
      </c>
      <c r="D155" s="117">
        <v>-69</v>
      </c>
      <c r="E155" s="117">
        <f>-75+1</f>
        <v>-74</v>
      </c>
      <c r="F155" s="117">
        <v>-178</v>
      </c>
      <c r="G155" s="117">
        <v>-32</v>
      </c>
      <c r="H155" s="117">
        <v>-82</v>
      </c>
      <c r="I155" s="117">
        <v>-136</v>
      </c>
      <c r="J155" s="117">
        <v>-250</v>
      </c>
      <c r="K155" s="117">
        <v>-79</v>
      </c>
      <c r="L155" s="117">
        <v>-235</v>
      </c>
      <c r="M155" s="117">
        <v>-138</v>
      </c>
      <c r="N155" s="117">
        <v>-245</v>
      </c>
      <c r="O155" s="637">
        <v>-106</v>
      </c>
      <c r="P155" s="637">
        <v>-132</v>
      </c>
      <c r="Q155" s="117">
        <v>-129</v>
      </c>
      <c r="R155" s="117">
        <v>-220</v>
      </c>
      <c r="S155" s="117">
        <v>-90</v>
      </c>
      <c r="T155" s="117"/>
      <c r="U155" s="117"/>
      <c r="V155" s="117"/>
    </row>
    <row r="156" spans="1:22">
      <c r="A156" s="408" t="s">
        <v>699</v>
      </c>
      <c r="B156" s="538"/>
      <c r="C156" s="117">
        <v>-61</v>
      </c>
      <c r="D156" s="117">
        <v>-22</v>
      </c>
      <c r="E156" s="117">
        <v>-17</v>
      </c>
      <c r="F156" s="117">
        <v>-17</v>
      </c>
      <c r="G156" s="117">
        <v>-64</v>
      </c>
      <c r="H156" s="117">
        <v>-27</v>
      </c>
      <c r="I156" s="117">
        <v>-19</v>
      </c>
      <c r="J156" s="117">
        <v>-16</v>
      </c>
      <c r="K156" s="117">
        <v>-68</v>
      </c>
      <c r="L156" s="117">
        <v>-14</v>
      </c>
      <c r="M156" s="117">
        <v>-10</v>
      </c>
      <c r="N156" s="117">
        <v>-13</v>
      </c>
      <c r="O156" s="637">
        <v>-72</v>
      </c>
      <c r="P156" s="637">
        <v>-24</v>
      </c>
      <c r="Q156" s="117">
        <v>-14</v>
      </c>
      <c r="R156" s="117">
        <v>-12</v>
      </c>
      <c r="S156" s="117">
        <v>-84</v>
      </c>
      <c r="T156" s="117"/>
      <c r="U156" s="117"/>
      <c r="V156" s="117"/>
    </row>
    <row r="157" spans="1:22">
      <c r="A157" s="408" t="s">
        <v>423</v>
      </c>
      <c r="B157" s="538"/>
      <c r="C157" s="117">
        <v>-7</v>
      </c>
      <c r="D157" s="117">
        <v>-3</v>
      </c>
      <c r="E157" s="117">
        <f>-8-1</f>
        <v>-9</v>
      </c>
      <c r="F157" s="117">
        <v>-5</v>
      </c>
      <c r="G157" s="117">
        <v>-8</v>
      </c>
      <c r="H157" s="117">
        <v>-1</v>
      </c>
      <c r="I157" s="117">
        <v>-9</v>
      </c>
      <c r="J157" s="117">
        <v>-18</v>
      </c>
      <c r="K157" s="117">
        <v>-2</v>
      </c>
      <c r="L157" s="394">
        <v>0</v>
      </c>
      <c r="M157" s="117">
        <f>1-3</f>
        <v>-2</v>
      </c>
      <c r="N157" s="117">
        <f>-7+3</f>
        <v>-4</v>
      </c>
      <c r="O157" s="637">
        <v>-1</v>
      </c>
      <c r="P157" s="637">
        <v>-6</v>
      </c>
      <c r="Q157" s="117">
        <v>-10</v>
      </c>
      <c r="R157" s="117">
        <v>-4</v>
      </c>
      <c r="S157" s="117">
        <v>-8</v>
      </c>
      <c r="T157" s="117"/>
      <c r="U157" s="117"/>
      <c r="V157" s="117"/>
    </row>
    <row r="158" spans="1:22">
      <c r="A158" s="565" t="s">
        <v>267</v>
      </c>
      <c r="B158" s="538"/>
      <c r="C158" s="513">
        <v>-826</v>
      </c>
      <c r="D158" s="513">
        <v>-1166</v>
      </c>
      <c r="E158" s="513">
        <v>-1136</v>
      </c>
      <c r="F158" s="513">
        <v>-992</v>
      </c>
      <c r="G158" s="513">
        <v>-2352</v>
      </c>
      <c r="H158" s="513">
        <v>-2032</v>
      </c>
      <c r="I158" s="513">
        <v>-850</v>
      </c>
      <c r="J158" s="513">
        <v>-2726</v>
      </c>
      <c r="K158" s="117">
        <v>-1875</v>
      </c>
      <c r="L158" s="117">
        <v>-2722</v>
      </c>
      <c r="M158" s="117">
        <f>-1384-3</f>
        <v>-1387</v>
      </c>
      <c r="N158" s="117">
        <f>-1757+3</f>
        <v>-1754</v>
      </c>
      <c r="O158" s="637">
        <v>-1265</v>
      </c>
      <c r="P158" s="637">
        <v>-2845</v>
      </c>
      <c r="Q158" s="117">
        <v>-1743</v>
      </c>
      <c r="R158" s="117">
        <v>-4933</v>
      </c>
      <c r="S158" s="117">
        <v>-977</v>
      </c>
      <c r="T158" s="117"/>
      <c r="U158" s="117"/>
      <c r="V158" s="117"/>
    </row>
    <row r="159" spans="1:22">
      <c r="A159" s="408" t="s">
        <v>431</v>
      </c>
      <c r="B159" s="538"/>
      <c r="C159" s="117">
        <v>303</v>
      </c>
      <c r="D159" s="117">
        <v>300</v>
      </c>
      <c r="E159" s="117">
        <v>100</v>
      </c>
      <c r="F159" s="117">
        <v>1300</v>
      </c>
      <c r="G159" s="117">
        <v>3796</v>
      </c>
      <c r="H159" s="117">
        <v>400</v>
      </c>
      <c r="I159" s="117">
        <v>1350</v>
      </c>
      <c r="J159" s="117">
        <v>3894</v>
      </c>
      <c r="K159" s="117">
        <v>3550</v>
      </c>
      <c r="L159" s="117">
        <v>844</v>
      </c>
      <c r="M159" s="117">
        <v>449</v>
      </c>
      <c r="N159" s="117">
        <v>3139</v>
      </c>
      <c r="O159" s="637">
        <v>172</v>
      </c>
      <c r="P159" s="637">
        <v>250</v>
      </c>
      <c r="Q159" s="117">
        <v>3960</v>
      </c>
      <c r="R159" s="117">
        <v>2580</v>
      </c>
      <c r="S159" s="117">
        <v>1551</v>
      </c>
      <c r="T159" s="117"/>
      <c r="U159" s="117"/>
      <c r="V159" s="117"/>
    </row>
    <row r="160" spans="1:22">
      <c r="A160" s="408" t="s">
        <v>432</v>
      </c>
      <c r="B160" s="538"/>
      <c r="C160" s="117">
        <v>42</v>
      </c>
      <c r="D160" s="117">
        <v>14</v>
      </c>
      <c r="E160" s="117">
        <v>31</v>
      </c>
      <c r="F160" s="117">
        <v>27</v>
      </c>
      <c r="G160" s="117">
        <v>15</v>
      </c>
      <c r="H160" s="117">
        <v>5</v>
      </c>
      <c r="I160" s="117">
        <v>2</v>
      </c>
      <c r="J160" s="117">
        <v>16</v>
      </c>
      <c r="K160" s="117">
        <v>10</v>
      </c>
      <c r="L160" s="117">
        <v>3</v>
      </c>
      <c r="M160" s="117">
        <v>7</v>
      </c>
      <c r="N160" s="117">
        <v>16</v>
      </c>
      <c r="O160" s="637">
        <v>5</v>
      </c>
      <c r="P160" s="637">
        <v>36</v>
      </c>
      <c r="Q160" s="117">
        <v>17</v>
      </c>
      <c r="R160" s="117">
        <v>21</v>
      </c>
      <c r="S160" s="117">
        <v>6</v>
      </c>
      <c r="T160" s="117"/>
      <c r="U160" s="117"/>
      <c r="V160" s="117"/>
    </row>
    <row r="161" spans="1:22" ht="12.75">
      <c r="A161" s="408" t="s">
        <v>430</v>
      </c>
      <c r="B161" s="538"/>
      <c r="C161" s="394">
        <v>0</v>
      </c>
      <c r="D161" s="394">
        <v>0</v>
      </c>
      <c r="E161" s="394">
        <v>0</v>
      </c>
      <c r="F161" s="394">
        <v>0</v>
      </c>
      <c r="G161" s="394">
        <v>0</v>
      </c>
      <c r="H161" s="394">
        <v>0</v>
      </c>
      <c r="I161" s="394"/>
      <c r="J161" s="394">
        <v>0</v>
      </c>
      <c r="K161" s="394">
        <v>0</v>
      </c>
      <c r="L161" s="394">
        <v>0</v>
      </c>
      <c r="M161" s="394"/>
      <c r="N161" s="394">
        <v>0</v>
      </c>
      <c r="O161" s="394">
        <v>0</v>
      </c>
      <c r="P161" s="394">
        <v>0</v>
      </c>
      <c r="Q161" s="394">
        <v>0</v>
      </c>
      <c r="R161" s="394">
        <v>0</v>
      </c>
      <c r="S161" s="394">
        <v>0</v>
      </c>
      <c r="T161" s="117"/>
      <c r="U161" s="117"/>
      <c r="V161" s="117"/>
    </row>
    <row r="162" spans="1:22" ht="12.75">
      <c r="A162" s="408" t="s">
        <v>426</v>
      </c>
      <c r="B162" s="538"/>
      <c r="C162" s="394"/>
      <c r="D162" s="394"/>
      <c r="E162" s="394"/>
      <c r="F162" s="394"/>
      <c r="G162" s="394"/>
      <c r="H162" s="394"/>
      <c r="I162" s="394"/>
      <c r="J162" s="394"/>
      <c r="K162" s="394"/>
      <c r="L162" s="394"/>
      <c r="M162" s="117">
        <v>3</v>
      </c>
      <c r="N162" s="117">
        <f>6-3</f>
        <v>3</v>
      </c>
      <c r="O162" s="394">
        <v>0</v>
      </c>
      <c r="P162" s="394">
        <v>0</v>
      </c>
      <c r="Q162" s="117">
        <v>2</v>
      </c>
      <c r="R162" s="117">
        <v>-2</v>
      </c>
      <c r="S162" s="117">
        <v>65</v>
      </c>
      <c r="T162" s="117"/>
      <c r="U162" s="117"/>
      <c r="V162" s="117"/>
    </row>
    <row r="163" spans="1:22">
      <c r="A163" s="565" t="s">
        <v>268</v>
      </c>
      <c r="B163" s="538"/>
      <c r="C163" s="78">
        <v>345</v>
      </c>
      <c r="D163" s="78">
        <v>314</v>
      </c>
      <c r="E163" s="78">
        <v>131</v>
      </c>
      <c r="F163" s="78">
        <v>1327</v>
      </c>
      <c r="G163" s="78">
        <v>3811</v>
      </c>
      <c r="H163" s="78">
        <v>405</v>
      </c>
      <c r="I163" s="78">
        <v>1352</v>
      </c>
      <c r="J163" s="78">
        <v>3910</v>
      </c>
      <c r="K163" s="513">
        <v>3560</v>
      </c>
      <c r="L163" s="513">
        <v>847</v>
      </c>
      <c r="M163" s="513">
        <f>456+3</f>
        <v>459</v>
      </c>
      <c r="N163" s="513">
        <f>3161-3</f>
        <v>3158</v>
      </c>
      <c r="O163" s="637">
        <v>177</v>
      </c>
      <c r="P163" s="637">
        <v>286</v>
      </c>
      <c r="Q163" s="637">
        <v>3979</v>
      </c>
      <c r="R163" s="637">
        <v>2599</v>
      </c>
      <c r="S163" s="117">
        <v>1622</v>
      </c>
      <c r="T163" s="117"/>
      <c r="U163" s="117"/>
      <c r="V163" s="117"/>
    </row>
    <row r="164" spans="1:22" s="398" customFormat="1" ht="12.75">
      <c r="A164" s="74" t="s">
        <v>393</v>
      </c>
      <c r="B164" s="537"/>
      <c r="C164" s="510">
        <v>-481</v>
      </c>
      <c r="D164" s="510">
        <v>-852</v>
      </c>
      <c r="E164" s="510">
        <v>-1005</v>
      </c>
      <c r="F164" s="510">
        <v>335</v>
      </c>
      <c r="G164" s="510">
        <v>1459</v>
      </c>
      <c r="H164" s="510">
        <v>-1627</v>
      </c>
      <c r="I164" s="510">
        <v>502</v>
      </c>
      <c r="J164" s="510">
        <v>1184</v>
      </c>
      <c r="K164" s="398">
        <v>1685</v>
      </c>
      <c r="L164" s="510">
        <v>-1875</v>
      </c>
      <c r="M164" s="510">
        <v>-928</v>
      </c>
      <c r="N164" s="510">
        <f>1404</f>
        <v>1404</v>
      </c>
      <c r="O164" s="510">
        <v>-1088</v>
      </c>
      <c r="P164" s="510">
        <v>-2559</v>
      </c>
      <c r="Q164" s="510">
        <v>2236</v>
      </c>
      <c r="R164" s="510">
        <v>-2334</v>
      </c>
      <c r="S164" s="510">
        <v>645</v>
      </c>
      <c r="T164" s="117"/>
      <c r="U164" s="117"/>
      <c r="V164" s="117"/>
    </row>
    <row r="165" spans="1:22" s="398" customFormat="1" ht="25.5">
      <c r="A165" s="249" t="s">
        <v>394</v>
      </c>
      <c r="B165" s="539"/>
      <c r="C165" s="510">
        <f>C164+C150+C138</f>
        <v>424</v>
      </c>
      <c r="D165" s="510">
        <f t="shared" ref="D165:J165" si="1">D164+D150+D138</f>
        <v>-814</v>
      </c>
      <c r="E165" s="510">
        <f t="shared" si="1"/>
        <v>-5</v>
      </c>
      <c r="F165" s="510">
        <f t="shared" si="1"/>
        <v>244</v>
      </c>
      <c r="G165" s="510">
        <f t="shared" si="1"/>
        <v>448</v>
      </c>
      <c r="H165" s="510">
        <f t="shared" si="1"/>
        <v>-387</v>
      </c>
      <c r="I165" s="510">
        <f t="shared" si="1"/>
        <v>73</v>
      </c>
      <c r="J165" s="510">
        <f t="shared" si="1"/>
        <v>183</v>
      </c>
      <c r="K165" s="398">
        <v>29</v>
      </c>
      <c r="L165" s="398">
        <v>27</v>
      </c>
      <c r="M165" s="398">
        <v>761</v>
      </c>
      <c r="N165" s="510">
        <v>-709</v>
      </c>
      <c r="O165" s="510">
        <v>31</v>
      </c>
      <c r="P165" s="510">
        <v>-607</v>
      </c>
      <c r="Q165" s="510">
        <v>78</v>
      </c>
      <c r="R165" s="510">
        <v>7</v>
      </c>
      <c r="S165" s="510">
        <v>1035</v>
      </c>
      <c r="T165" s="117"/>
      <c r="U165" s="117"/>
      <c r="V165" s="117"/>
    </row>
    <row r="166" spans="1:22" ht="12.75">
      <c r="A166" s="80" t="s">
        <v>409</v>
      </c>
      <c r="B166" s="538"/>
      <c r="C166" s="75">
        <v>1</v>
      </c>
      <c r="D166" s="75">
        <v>-3</v>
      </c>
      <c r="E166" s="110">
        <v>0</v>
      </c>
      <c r="F166" s="117">
        <v>-1</v>
      </c>
      <c r="G166" s="117">
        <v>-3</v>
      </c>
      <c r="H166" s="117">
        <v>4</v>
      </c>
      <c r="I166" s="117">
        <v>14</v>
      </c>
      <c r="J166" s="117">
        <v>-39</v>
      </c>
      <c r="K166" s="110">
        <v>22</v>
      </c>
      <c r="L166" s="110">
        <v>3</v>
      </c>
      <c r="M166" s="110">
        <v>2</v>
      </c>
      <c r="N166" s="110">
        <v>-2</v>
      </c>
      <c r="O166" s="394">
        <v>0</v>
      </c>
      <c r="P166" s="110"/>
      <c r="Q166" s="394">
        <v>0</v>
      </c>
      <c r="R166" s="394">
        <v>0</v>
      </c>
      <c r="S166" s="394">
        <v>0</v>
      </c>
      <c r="T166" s="117"/>
      <c r="U166" s="117"/>
      <c r="V166" s="117"/>
    </row>
    <row r="167" spans="1:22" ht="12.75">
      <c r="A167" s="565" t="s">
        <v>276</v>
      </c>
      <c r="B167" s="538"/>
      <c r="C167" s="603">
        <f>895-121</f>
        <v>774</v>
      </c>
      <c r="D167" s="117">
        <f>1333-135</f>
        <v>1198</v>
      </c>
      <c r="E167" s="110">
        <f>536-152</f>
        <v>384</v>
      </c>
      <c r="F167" s="110">
        <f>480-101</f>
        <v>379</v>
      </c>
      <c r="G167" s="586">
        <f>791-168</f>
        <v>623</v>
      </c>
      <c r="H167" s="586">
        <f>1253-182</f>
        <v>1071</v>
      </c>
      <c r="I167" s="586">
        <f>846-162</f>
        <v>684</v>
      </c>
      <c r="J167" s="586">
        <f>I168</f>
        <v>757</v>
      </c>
      <c r="K167" s="110">
        <v>940</v>
      </c>
      <c r="L167" s="110">
        <v>969</v>
      </c>
      <c r="M167" s="110">
        <v>996</v>
      </c>
      <c r="N167" s="110">
        <v>1757</v>
      </c>
      <c r="O167" s="110">
        <v>1048</v>
      </c>
      <c r="P167" s="110">
        <v>1079</v>
      </c>
      <c r="Q167" s="110">
        <v>472</v>
      </c>
      <c r="R167" s="110">
        <v>550</v>
      </c>
      <c r="S167" s="117">
        <v>557</v>
      </c>
      <c r="T167" s="117"/>
      <c r="U167" s="117"/>
      <c r="V167" s="117"/>
    </row>
    <row r="168" spans="1:22" ht="12.75">
      <c r="A168" s="253" t="s">
        <v>395</v>
      </c>
      <c r="C168" s="75">
        <f>1333-135</f>
        <v>1198</v>
      </c>
      <c r="D168" s="110">
        <f>536-152</f>
        <v>384</v>
      </c>
      <c r="E168" s="110">
        <f>480-101</f>
        <v>379</v>
      </c>
      <c r="F168" s="110">
        <v>623</v>
      </c>
      <c r="G168" s="586">
        <f>1253-182</f>
        <v>1071</v>
      </c>
      <c r="H168" s="586">
        <f>846-162</f>
        <v>684</v>
      </c>
      <c r="I168" s="586">
        <f>936-179</f>
        <v>757</v>
      </c>
      <c r="J168" s="110">
        <v>940</v>
      </c>
      <c r="K168" s="110">
        <v>969</v>
      </c>
      <c r="L168" s="110">
        <v>996</v>
      </c>
      <c r="M168" s="110">
        <v>1757</v>
      </c>
      <c r="N168" s="110">
        <v>1048</v>
      </c>
      <c r="O168" s="110">
        <v>1079</v>
      </c>
      <c r="P168" s="110">
        <v>472</v>
      </c>
      <c r="Q168" s="110">
        <v>550</v>
      </c>
      <c r="R168" s="110">
        <v>557</v>
      </c>
      <c r="S168" s="117">
        <v>1592</v>
      </c>
      <c r="T168" s="117"/>
      <c r="U168" s="117"/>
      <c r="V168" s="117"/>
    </row>
    <row r="169" spans="1:22" s="399" customFormat="1" ht="12.75">
      <c r="A169" s="564" t="s">
        <v>410</v>
      </c>
      <c r="B169" s="540"/>
      <c r="C169" s="604">
        <f>330-135</f>
        <v>195</v>
      </c>
      <c r="D169" s="399">
        <f>231-152</f>
        <v>79</v>
      </c>
      <c r="E169" s="399">
        <f>199-101</f>
        <v>98</v>
      </c>
      <c r="F169" s="399">
        <v>146</v>
      </c>
      <c r="G169" s="605">
        <f>301-182</f>
        <v>119</v>
      </c>
      <c r="H169" s="605">
        <f>267-162</f>
        <v>105</v>
      </c>
      <c r="I169" s="605">
        <f>355-179</f>
        <v>176</v>
      </c>
      <c r="J169" s="399">
        <v>322</v>
      </c>
      <c r="K169" s="399">
        <v>581</v>
      </c>
      <c r="L169" s="399">
        <v>290</v>
      </c>
      <c r="M169" s="399">
        <v>183</v>
      </c>
      <c r="N169" s="399">
        <v>372</v>
      </c>
      <c r="O169" s="399">
        <v>246</v>
      </c>
      <c r="P169" s="399">
        <v>184</v>
      </c>
      <c r="Q169" s="399">
        <v>217</v>
      </c>
      <c r="R169" s="399">
        <v>268</v>
      </c>
      <c r="S169" s="399">
        <v>504</v>
      </c>
      <c r="T169" s="117"/>
      <c r="U169" s="117"/>
      <c r="V169" s="117"/>
    </row>
    <row r="170" spans="1:22">
      <c r="H170" s="117"/>
    </row>
    <row r="171" spans="1:22">
      <c r="C171" s="117"/>
      <c r="D171" s="117"/>
      <c r="E171" s="117"/>
      <c r="F171" s="117"/>
      <c r="G171" s="10"/>
      <c r="H171" s="10"/>
      <c r="I171" s="10"/>
      <c r="J171" s="10"/>
      <c r="K171" s="10"/>
      <c r="Q171" s="10"/>
      <c r="R171" s="10"/>
    </row>
    <row r="172" spans="1:22" ht="12.75">
      <c r="B172" s="541"/>
      <c r="C172" s="117"/>
      <c r="D172" s="117"/>
      <c r="E172" s="117"/>
      <c r="F172" s="117"/>
      <c r="G172" s="117"/>
      <c r="H172" s="117"/>
      <c r="I172" s="117"/>
      <c r="L172" s="110"/>
      <c r="M172" s="110"/>
      <c r="N172" s="110"/>
      <c r="O172" s="110"/>
      <c r="P172" s="110"/>
    </row>
    <row r="173" spans="1:22" ht="12.75"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</row>
    <row r="174" spans="1:22" ht="12.75">
      <c r="C174" s="117"/>
      <c r="D174" s="117"/>
      <c r="E174" s="117"/>
      <c r="F174" s="117"/>
      <c r="G174" s="117"/>
      <c r="H174" s="117"/>
      <c r="I174" s="117"/>
      <c r="K174" s="117"/>
      <c r="L174" s="117"/>
      <c r="M174" s="117"/>
      <c r="N174" s="117"/>
      <c r="O174" s="117"/>
      <c r="P174" s="117"/>
      <c r="Q174" s="117"/>
      <c r="R174" s="117"/>
    </row>
    <row r="175" spans="1:22">
      <c r="C175" s="589"/>
      <c r="D175" s="589"/>
      <c r="E175" s="589"/>
      <c r="F175" s="589"/>
      <c r="O175" s="637"/>
      <c r="P175" s="637"/>
      <c r="Q175" s="637"/>
      <c r="R175" s="637"/>
    </row>
    <row r="176" spans="1:22">
      <c r="C176" s="117"/>
      <c r="D176" s="117"/>
      <c r="E176" s="117"/>
      <c r="F176" s="117"/>
      <c r="G176" s="117"/>
      <c r="H176" s="117"/>
      <c r="I176" s="117"/>
      <c r="J176" s="117"/>
    </row>
    <row r="177" spans="6:6">
      <c r="F177" s="589"/>
    </row>
  </sheetData>
  <mergeCells count="2">
    <mergeCell ref="J123:O123"/>
    <mergeCell ref="N124:O124"/>
  </mergeCells>
  <pageMargins left="0.70866141732283472" right="0.70866141732283472" top="0.74803149606299213" bottom="0.74803149606299213" header="0.31496062992125984" footer="0.31496062992125984"/>
  <pageSetup paperSize="8" scale="1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A1:BD175"/>
  <sheetViews>
    <sheetView workbookViewId="0">
      <selection activeCell="G5" sqref="G5"/>
    </sheetView>
  </sheetViews>
  <sheetFormatPr defaultColWidth="12.42578125" defaultRowHeight="15"/>
  <cols>
    <col min="1" max="1" width="107.7109375" style="72" customWidth="1"/>
    <col min="2" max="2" width="2.42578125" style="528" customWidth="1"/>
    <col min="3" max="3" width="15.28515625" style="72" customWidth="1"/>
    <col min="4" max="4" width="17.7109375" style="72" customWidth="1"/>
    <col min="5" max="5" width="17.28515625" style="72" customWidth="1"/>
    <col min="6" max="6" width="18.5703125" style="72" customWidth="1"/>
    <col min="7" max="7" width="17.42578125" style="72" customWidth="1"/>
    <col min="8" max="10" width="16.140625" style="72" customWidth="1"/>
    <col min="11" max="16384" width="12.42578125" style="72"/>
  </cols>
  <sheetData>
    <row r="1" spans="1:13" ht="28.15" customHeight="1">
      <c r="A1" s="71" t="s">
        <v>411</v>
      </c>
    </row>
    <row r="2" spans="1:13">
      <c r="A2" s="89" t="s">
        <v>376</v>
      </c>
      <c r="C2" s="89" t="s">
        <v>665</v>
      </c>
      <c r="D2" s="89"/>
      <c r="E2" s="696"/>
      <c r="F2" s="697"/>
      <c r="G2" s="696"/>
      <c r="H2" s="697"/>
      <c r="I2" s="697"/>
      <c r="J2" s="697"/>
    </row>
    <row r="3" spans="1:13" ht="89.25">
      <c r="A3" s="576" t="s">
        <v>679</v>
      </c>
      <c r="C3" s="580" t="s">
        <v>639</v>
      </c>
      <c r="D3" s="580" t="s">
        <v>751</v>
      </c>
      <c r="E3" s="580" t="s">
        <v>825</v>
      </c>
      <c r="F3" s="580" t="s">
        <v>750</v>
      </c>
      <c r="G3" s="580" t="s">
        <v>894</v>
      </c>
      <c r="H3" s="580" t="s">
        <v>887</v>
      </c>
      <c r="I3" s="580" t="s">
        <v>893</v>
      </c>
      <c r="J3" s="580" t="s">
        <v>892</v>
      </c>
    </row>
    <row r="4" spans="1:13">
      <c r="A4" s="80"/>
    </row>
    <row r="5" spans="1:13">
      <c r="A5" s="80" t="s">
        <v>564</v>
      </c>
      <c r="B5" s="529"/>
      <c r="C5" s="105">
        <v>11866</v>
      </c>
      <c r="D5" s="105">
        <v>13298</v>
      </c>
      <c r="E5" s="105">
        <f>18124-423</f>
        <v>17701</v>
      </c>
      <c r="F5" s="105">
        <v>18610</v>
      </c>
      <c r="G5" s="105">
        <f>'Hist. dane kwart. - Q figures'!K5+'Hist. dane kwart. - Q figures'!L5</f>
        <v>22052</v>
      </c>
      <c r="H5" s="105">
        <f>'Hist. dane kwart. - Q figures'!M5+'Hist. dane kwart. - Q figures'!N5</f>
        <v>19925</v>
      </c>
      <c r="I5" s="105">
        <f>'Hist. dane kwart. - Q figures'!O5+'Hist. dane kwart. - Q figures'!P5</f>
        <v>15688</v>
      </c>
      <c r="J5" s="105">
        <f>'Hist. dane kwart. - Q figures'!Q5+'Hist. dane kwart. - Q figures'!R5</f>
        <v>16847</v>
      </c>
      <c r="K5" s="105"/>
      <c r="L5" s="105"/>
      <c r="M5" s="105"/>
    </row>
    <row r="6" spans="1:13">
      <c r="A6" s="252" t="s">
        <v>563</v>
      </c>
      <c r="B6" s="529"/>
      <c r="C6" s="105"/>
      <c r="D6" s="105">
        <v>-9</v>
      </c>
      <c r="E6" s="105"/>
      <c r="F6" s="105">
        <v>484</v>
      </c>
      <c r="G6" s="105">
        <f>'Hist. dane kwart. - Q figures'!K6+'Hist. dane kwart. - Q figures'!L6</f>
        <v>4279</v>
      </c>
      <c r="H6" s="105">
        <f>'Hist. dane kwart. - Q figures'!M6+'Hist. dane kwart. - Q figures'!N6</f>
        <v>3779</v>
      </c>
      <c r="I6" s="105">
        <f>'Hist. dane kwart. - Q figures'!O6+'Hist. dane kwart. - Q figures'!P6</f>
        <v>2116</v>
      </c>
      <c r="J6" s="105">
        <f>'Hist. dane kwart. - Q figures'!Q6+'Hist. dane kwart. - Q figures'!R6</f>
        <v>748</v>
      </c>
      <c r="K6" s="105"/>
      <c r="L6" s="105"/>
      <c r="M6" s="105"/>
    </row>
    <row r="7" spans="1:13">
      <c r="A7" s="87" t="s">
        <v>377</v>
      </c>
      <c r="B7" s="529"/>
      <c r="C7" s="105">
        <v>-10649</v>
      </c>
      <c r="D7" s="105">
        <v>-12279</v>
      </c>
      <c r="E7" s="105">
        <f>-16369+166</f>
        <v>-16203</v>
      </c>
      <c r="F7" s="105">
        <v>-18651</v>
      </c>
      <c r="G7" s="105">
        <f>'Hist. dane kwart. - Q figures'!K7+'Hist. dane kwart. - Q figures'!L7</f>
        <v>-23317</v>
      </c>
      <c r="H7" s="105">
        <f>'Hist. dane kwart. - Q figures'!M7+'Hist. dane kwart. - Q figures'!N7</f>
        <v>-22310</v>
      </c>
      <c r="I7" s="105">
        <f>'Hist. dane kwart. - Q figures'!O7+'Hist. dane kwart. - Q figures'!P7</f>
        <v>-16359</v>
      </c>
      <c r="J7" s="105">
        <f>'Hist. dane kwart. - Q figures'!Q7+'Hist. dane kwart. - Q figures'!R7</f>
        <v>-15072</v>
      </c>
      <c r="K7" s="105"/>
      <c r="L7" s="105"/>
      <c r="M7" s="105"/>
    </row>
    <row r="8" spans="1:13">
      <c r="A8" s="80" t="s">
        <v>680</v>
      </c>
      <c r="B8" s="529"/>
      <c r="C8" s="581">
        <v>1217</v>
      </c>
      <c r="D8" s="105">
        <v>1010</v>
      </c>
      <c r="E8" s="581">
        <f>1755-257</f>
        <v>1498</v>
      </c>
      <c r="F8" s="105">
        <v>443</v>
      </c>
      <c r="G8" s="105">
        <f>'Hist. dane kwart. - Q figures'!K8+'Hist. dane kwart. - Q figures'!L8</f>
        <v>3014</v>
      </c>
      <c r="H8" s="105">
        <f>'Hist. dane kwart. - Q figures'!M8+'Hist. dane kwart. - Q figures'!N8</f>
        <v>1394</v>
      </c>
      <c r="I8" s="105">
        <f>'Hist. dane kwart. - Q figures'!O8+'Hist. dane kwart. - Q figures'!P8</f>
        <v>1445</v>
      </c>
      <c r="J8" s="105">
        <f>'Hist. dane kwart. - Q figures'!Q8+'Hist. dane kwart. - Q figures'!R8</f>
        <v>2523</v>
      </c>
      <c r="K8" s="105"/>
      <c r="L8" s="105"/>
      <c r="M8" s="105"/>
    </row>
    <row r="9" spans="1:13">
      <c r="A9" s="87" t="s">
        <v>378</v>
      </c>
      <c r="B9" s="529"/>
      <c r="C9" s="105">
        <v>-249</v>
      </c>
      <c r="D9" s="105">
        <v>-236</v>
      </c>
      <c r="E9" s="105">
        <f>-312+47</f>
        <v>-265</v>
      </c>
      <c r="F9" s="105">
        <v>-263</v>
      </c>
      <c r="G9" s="105">
        <f>'Hist. dane kwart. - Q figures'!K9+'Hist. dane kwart. - Q figures'!L9</f>
        <v>-359</v>
      </c>
      <c r="H9" s="105">
        <f>'Hist. dane kwart. - Q figures'!M9+'Hist. dane kwart. - Q figures'!N9</f>
        <v>-407</v>
      </c>
      <c r="I9" s="105">
        <f>'Hist. dane kwart. - Q figures'!O9+'Hist. dane kwart. - Q figures'!P9</f>
        <v>-372</v>
      </c>
      <c r="J9" s="105">
        <f>'Hist. dane kwart. - Q figures'!Q9+'Hist. dane kwart. - Q figures'!R9</f>
        <v>-366</v>
      </c>
      <c r="K9" s="105"/>
      <c r="L9" s="105"/>
      <c r="M9" s="105"/>
    </row>
    <row r="10" spans="1:13">
      <c r="A10" s="87" t="s">
        <v>206</v>
      </c>
      <c r="B10" s="529"/>
      <c r="C10" s="105">
        <v>-306</v>
      </c>
      <c r="D10" s="105">
        <v>-184</v>
      </c>
      <c r="E10" s="105">
        <f>-324+65</f>
        <v>-259</v>
      </c>
      <c r="F10" s="105">
        <v>-299</v>
      </c>
      <c r="G10" s="105">
        <f>'Hist. dane kwart. - Q figures'!K10+'Hist. dane kwart. - Q figures'!L10</f>
        <v>-336</v>
      </c>
      <c r="H10" s="105">
        <f>'Hist. dane kwart. - Q figures'!M10+'Hist. dane kwart. - Q figures'!N10</f>
        <v>-365</v>
      </c>
      <c r="I10" s="105">
        <f>'Hist. dane kwart. - Q figures'!O10+'Hist. dane kwart. - Q figures'!P10</f>
        <v>-369</v>
      </c>
      <c r="J10" s="105">
        <f>'Hist. dane kwart. - Q figures'!Q10+'Hist. dane kwart. - Q figures'!R10</f>
        <v>-384</v>
      </c>
      <c r="K10" s="105"/>
      <c r="L10" s="105"/>
      <c r="M10" s="105"/>
    </row>
    <row r="11" spans="1:13">
      <c r="A11" s="87" t="s">
        <v>207</v>
      </c>
      <c r="B11" s="529"/>
      <c r="C11" s="105">
        <v>47</v>
      </c>
      <c r="D11" s="105">
        <v>29</v>
      </c>
      <c r="E11" s="105">
        <v>-2</v>
      </c>
      <c r="F11" s="105">
        <v>88</v>
      </c>
      <c r="G11" s="105">
        <f>'Hist. dane kwart. - Q figures'!K11+'Hist. dane kwart. - Q figures'!L11</f>
        <v>232</v>
      </c>
      <c r="H11" s="105">
        <f>'Hist. dane kwart. - Q figures'!M11+'Hist. dane kwart. - Q figures'!N11</f>
        <v>28</v>
      </c>
      <c r="I11" s="105">
        <f>'Hist. dane kwart. - Q figures'!O11+'Hist. dane kwart. - Q figures'!P11</f>
        <v>44</v>
      </c>
      <c r="J11" s="105">
        <f>'Hist. dane kwart. - Q figures'!Q11+'Hist. dane kwart. - Q figures'!R11</f>
        <v>46</v>
      </c>
      <c r="K11" s="105"/>
      <c r="L11" s="105"/>
      <c r="M11" s="105"/>
    </row>
    <row r="12" spans="1:13">
      <c r="A12" s="87" t="s">
        <v>390</v>
      </c>
      <c r="B12" s="529"/>
      <c r="C12" s="105">
        <v>22</v>
      </c>
      <c r="D12" s="105">
        <v>10</v>
      </c>
      <c r="E12" s="105">
        <v>49</v>
      </c>
      <c r="F12" s="105">
        <v>79</v>
      </c>
      <c r="G12" s="105">
        <f>'Hist. dane kwart. - Q figures'!K12+'Hist. dane kwart. - Q figures'!L12</f>
        <v>63</v>
      </c>
      <c r="H12" s="105">
        <f>'Hist. dane kwart. - Q figures'!M12+'Hist. dane kwart. - Q figures'!N12</f>
        <v>-550</v>
      </c>
      <c r="I12" s="105">
        <f>'Hist. dane kwart. - Q figures'!O12+'Hist. dane kwart. - Q figures'!P12</f>
        <v>15</v>
      </c>
      <c r="J12" s="105">
        <f>'Hist. dane kwart. - Q figures'!Q12+'Hist. dane kwart. - Q figures'!R12</f>
        <v>69</v>
      </c>
      <c r="K12" s="105"/>
      <c r="L12" s="105"/>
      <c r="M12" s="105"/>
    </row>
    <row r="13" spans="1:13">
      <c r="A13" s="80" t="s">
        <v>379</v>
      </c>
      <c r="B13" s="529"/>
      <c r="C13" s="581">
        <v>731</v>
      </c>
      <c r="D13" s="105">
        <v>629</v>
      </c>
      <c r="E13" s="581">
        <f>1166-145</f>
        <v>1021</v>
      </c>
      <c r="F13" s="105">
        <v>48</v>
      </c>
      <c r="G13" s="105">
        <f>'Hist. dane kwart. - Q figures'!K13+'Hist. dane kwart. - Q figures'!L13</f>
        <v>2614</v>
      </c>
      <c r="H13" s="105">
        <f>'Hist. dane kwart. - Q figures'!M13+'Hist. dane kwart. - Q figures'!N13</f>
        <v>100</v>
      </c>
      <c r="I13" s="105">
        <f>'Hist. dane kwart. - Q figures'!O13+'Hist. dane kwart. - Q figures'!P13</f>
        <v>763</v>
      </c>
      <c r="J13" s="105">
        <f>'Hist. dane kwart. - Q figures'!Q13+'Hist. dane kwart. - Q figures'!R13</f>
        <v>1888</v>
      </c>
      <c r="K13" s="105"/>
      <c r="L13" s="105"/>
      <c r="M13" s="105"/>
    </row>
    <row r="14" spans="1:13">
      <c r="A14" s="87" t="s">
        <v>208</v>
      </c>
      <c r="B14" s="529"/>
      <c r="C14" s="105">
        <v>-186</v>
      </c>
      <c r="D14" s="105">
        <v>-179</v>
      </c>
      <c r="E14" s="105">
        <f>-256+1</f>
        <v>-255</v>
      </c>
      <c r="F14" s="105">
        <v>-336</v>
      </c>
      <c r="G14" s="105">
        <f>'Hist. dane kwart. - Q figures'!K14+'Hist. dane kwart. - Q figures'!L14</f>
        <v>-438</v>
      </c>
      <c r="H14" s="105">
        <f>'Hist. dane kwart. - Q figures'!M14+'Hist. dane kwart. - Q figures'!N14</f>
        <v>-359</v>
      </c>
      <c r="I14" s="105">
        <f>'Hist. dane kwart. - Q figures'!O14+'Hist. dane kwart. - Q figures'!P14</f>
        <v>-342</v>
      </c>
      <c r="J14" s="105">
        <f>'Hist. dane kwart. - Q figures'!Q14+'Hist. dane kwart. - Q figures'!R14</f>
        <v>-330</v>
      </c>
      <c r="K14" s="105"/>
      <c r="L14" s="105"/>
      <c r="M14" s="105"/>
    </row>
    <row r="15" spans="1:13">
      <c r="A15" s="87" t="s">
        <v>536</v>
      </c>
      <c r="B15" s="529"/>
      <c r="C15" s="72">
        <v>52</v>
      </c>
      <c r="D15" s="105">
        <v>78</v>
      </c>
      <c r="E15" s="105">
        <f>-48+7</f>
        <v>-41</v>
      </c>
      <c r="F15" s="105">
        <v>-327</v>
      </c>
      <c r="G15" s="105">
        <f>'Hist. dane kwart. - Q figures'!K15+'Hist. dane kwart. - Q figures'!L15</f>
        <v>-221</v>
      </c>
      <c r="H15" s="105">
        <f>'Hist. dane kwart. - Q figures'!M15+'Hist. dane kwart. - Q figures'!N15</f>
        <v>-74</v>
      </c>
      <c r="I15" s="105">
        <f>'Hist. dane kwart. - Q figures'!O15+'Hist. dane kwart. - Q figures'!P15</f>
        <v>-36</v>
      </c>
      <c r="J15" s="105">
        <f>'Hist. dane kwart. - Q figures'!Q15+'Hist. dane kwart. - Q figures'!R15</f>
        <v>-57</v>
      </c>
      <c r="K15" s="105"/>
      <c r="L15" s="105"/>
      <c r="M15" s="105"/>
    </row>
    <row r="16" spans="1:13">
      <c r="A16" s="80" t="s">
        <v>795</v>
      </c>
      <c r="B16" s="529"/>
      <c r="C16" s="324">
        <v>597</v>
      </c>
      <c r="D16" s="105">
        <v>528</v>
      </c>
      <c r="E16" s="581">
        <f>862-137</f>
        <v>725</v>
      </c>
      <c r="F16" s="105">
        <v>-615</v>
      </c>
      <c r="G16" s="105">
        <f>'Hist. dane kwart. - Q figures'!K16+'Hist. dane kwart. - Q figures'!L16</f>
        <v>1955</v>
      </c>
      <c r="H16" s="105">
        <f>'Hist. dane kwart. - Q figures'!M16+'Hist. dane kwart. - Q figures'!N16</f>
        <v>-333</v>
      </c>
      <c r="I16" s="105">
        <f>'Hist. dane kwart. - Q figures'!O16+'Hist. dane kwart. - Q figures'!P16</f>
        <v>385</v>
      </c>
      <c r="J16" s="105">
        <f>'Hist. dane kwart. - Q figures'!Q16+'Hist. dane kwart. - Q figures'!R16</f>
        <v>1501</v>
      </c>
      <c r="K16" s="105"/>
      <c r="L16" s="105"/>
      <c r="M16" s="105"/>
    </row>
    <row r="17" spans="1:13">
      <c r="A17" s="87" t="s">
        <v>209</v>
      </c>
      <c r="B17" s="529"/>
      <c r="C17" s="105">
        <v>-215</v>
      </c>
      <c r="D17" s="105">
        <v>-78</v>
      </c>
      <c r="E17" s="105">
        <f>-233-57</f>
        <v>-290</v>
      </c>
      <c r="F17" s="105">
        <v>-29</v>
      </c>
      <c r="G17" s="105">
        <f>'Hist. dane kwart. - Q figures'!K17+'Hist. dane kwart. - Q figures'!L17</f>
        <v>-542</v>
      </c>
      <c r="H17" s="105">
        <f>'Hist. dane kwart. - Q figures'!M17+'Hist. dane kwart. - Q figures'!N17</f>
        <v>48</v>
      </c>
      <c r="I17" s="105">
        <f>'Hist. dane kwart. - Q figures'!O17+'Hist. dane kwart. - Q figures'!P17</f>
        <v>-900</v>
      </c>
      <c r="J17" s="105">
        <f>'Hist. dane kwart. - Q figures'!Q17+'Hist. dane kwart. - Q figures'!R17</f>
        <v>-396</v>
      </c>
      <c r="K17" s="105"/>
      <c r="L17" s="105"/>
      <c r="M17" s="105"/>
    </row>
    <row r="18" spans="1:13">
      <c r="A18" s="87"/>
      <c r="B18" s="529"/>
      <c r="C18" s="105"/>
      <c r="D18" s="105"/>
      <c r="E18" s="105"/>
      <c r="F18" s="105">
        <v>0</v>
      </c>
      <c r="G18" s="105">
        <f>'Hist. dane kwart. - Q figures'!K18+'Hist. dane kwart. - Q figures'!L18</f>
        <v>0</v>
      </c>
      <c r="H18" s="105">
        <f>'Hist. dane kwart. - Q figures'!M18+'Hist. dane kwart. - Q figures'!N18</f>
        <v>0</v>
      </c>
      <c r="I18" s="105">
        <f>'Hist. dane kwart. - Q figures'!O18+'Hist. dane kwart. - Q figures'!P18</f>
        <v>0</v>
      </c>
      <c r="J18" s="105">
        <f>'Hist. dane kwart. - Q figures'!Q18+'Hist. dane kwart. - Q figures'!R18</f>
        <v>0</v>
      </c>
      <c r="K18" s="105"/>
      <c r="L18" s="105"/>
      <c r="M18" s="105"/>
    </row>
    <row r="19" spans="1:13">
      <c r="A19" s="577" t="s">
        <v>742</v>
      </c>
      <c r="B19" s="529"/>
      <c r="C19" s="105"/>
      <c r="D19" s="596">
        <v>832</v>
      </c>
      <c r="E19" s="596">
        <v>435</v>
      </c>
      <c r="F19" s="596">
        <v>-644</v>
      </c>
      <c r="G19" s="596">
        <f>'Hist. dane kwart. - Q figures'!K19+'Hist. dane kwart. - Q figures'!L19</f>
        <v>1413</v>
      </c>
      <c r="H19" s="596">
        <f>'Hist. dane kwart. - Q figures'!M19+'Hist. dane kwart. - Q figures'!N19</f>
        <v>-285</v>
      </c>
      <c r="I19" s="596">
        <f>'Hist. dane kwart. - Q figures'!O19+'Hist. dane kwart. - Q figures'!P19</f>
        <v>0</v>
      </c>
      <c r="J19" s="596">
        <f>'Hist. dane kwart. - Q figures'!Q19+'Hist. dane kwart. - Q figures'!R19</f>
        <v>0</v>
      </c>
      <c r="K19" s="105"/>
      <c r="L19" s="105"/>
      <c r="M19" s="105"/>
    </row>
    <row r="20" spans="1:13">
      <c r="A20" s="80"/>
      <c r="B20" s="529"/>
      <c r="C20" s="105"/>
      <c r="D20" s="596"/>
      <c r="E20" s="597"/>
      <c r="F20" s="597">
        <v>0</v>
      </c>
      <c r="G20" s="597"/>
      <c r="H20" s="597">
        <f>'Hist. dane kwart. - Q figures'!M20+'Hist. dane kwart. - Q figures'!N20</f>
        <v>0</v>
      </c>
      <c r="I20" s="597">
        <f>'Hist. dane kwart. - Q figures'!O20+'Hist. dane kwart. - Q figures'!P20</f>
        <v>0</v>
      </c>
      <c r="J20" s="597">
        <f>'Hist. dane kwart. - Q figures'!Q20+'Hist. dane kwart. - Q figures'!R20</f>
        <v>0</v>
      </c>
      <c r="K20" s="105"/>
      <c r="L20" s="105"/>
      <c r="M20" s="105"/>
    </row>
    <row r="21" spans="1:13">
      <c r="A21" s="577" t="s">
        <v>743</v>
      </c>
      <c r="B21" s="529"/>
      <c r="C21" s="105"/>
      <c r="D21" s="596">
        <v>-447</v>
      </c>
      <c r="E21" s="597">
        <v>194</v>
      </c>
      <c r="F21" s="597">
        <v>-119</v>
      </c>
      <c r="G21" s="597">
        <v>0</v>
      </c>
      <c r="H21" s="597">
        <f>'Hist. dane kwart. - Q figures'!M21+'Hist. dane kwart. - Q figures'!N21</f>
        <v>0</v>
      </c>
      <c r="I21" s="597">
        <f>'Hist. dane kwart. - Q figures'!O21+'Hist. dane kwart. - Q figures'!P21</f>
        <v>0</v>
      </c>
      <c r="J21" s="597">
        <f>'Hist. dane kwart. - Q figures'!Q21+'Hist. dane kwart. - Q figures'!R21</f>
        <v>0</v>
      </c>
      <c r="K21" s="105"/>
      <c r="L21" s="105"/>
      <c r="M21" s="105"/>
    </row>
    <row r="22" spans="1:13">
      <c r="A22" s="87"/>
      <c r="B22" s="529"/>
      <c r="C22" s="105"/>
      <c r="D22" s="596"/>
      <c r="E22" s="597"/>
      <c r="F22" s="597">
        <v>0</v>
      </c>
      <c r="G22" s="597"/>
      <c r="H22" s="597">
        <f>'Hist. dane kwart. - Q figures'!M22+'Hist. dane kwart. - Q figures'!N22</f>
        <v>0</v>
      </c>
      <c r="I22" s="597">
        <f>'Hist. dane kwart. - Q figures'!O22+'Hist. dane kwart. - Q figures'!P22</f>
        <v>0</v>
      </c>
      <c r="J22" s="597">
        <f>'Hist. dane kwart. - Q figures'!Q22+'Hist. dane kwart. - Q figures'!R22</f>
        <v>0</v>
      </c>
      <c r="K22" s="105"/>
      <c r="L22" s="105"/>
      <c r="M22" s="105"/>
    </row>
    <row r="23" spans="1:13">
      <c r="A23" s="577" t="s">
        <v>682</v>
      </c>
      <c r="B23" s="529"/>
      <c r="C23" s="582">
        <v>382</v>
      </c>
      <c r="D23" s="596">
        <v>3</v>
      </c>
      <c r="E23" s="598">
        <v>629</v>
      </c>
      <c r="F23" s="598">
        <v>-763</v>
      </c>
      <c r="G23" s="598">
        <f>'Hist. dane kwart. - Q figures'!K23+'Hist. dane kwart. - Q figures'!L23</f>
        <v>1413</v>
      </c>
      <c r="H23" s="598">
        <f>'Hist. dane kwart. - Q figures'!M23+'Hist. dane kwart. - Q figures'!N23</f>
        <v>-285</v>
      </c>
      <c r="I23" s="598">
        <f>'Hist. dane kwart. - Q figures'!O23+'Hist. dane kwart. - Q figures'!P23</f>
        <v>-515</v>
      </c>
      <c r="J23" s="598">
        <f>'Hist. dane kwart. - Q figures'!Q23+'Hist. dane kwart. - Q figures'!R23</f>
        <v>1105</v>
      </c>
      <c r="K23" s="105"/>
      <c r="L23" s="105"/>
      <c r="M23" s="105"/>
    </row>
    <row r="24" spans="1:13">
      <c r="A24" s="96"/>
      <c r="B24" s="529"/>
      <c r="D24" s="105"/>
      <c r="F24" s="105">
        <v>0</v>
      </c>
      <c r="K24" s="105"/>
      <c r="L24" s="105"/>
      <c r="M24" s="105"/>
    </row>
    <row r="25" spans="1:13">
      <c r="A25" s="87" t="s">
        <v>210</v>
      </c>
      <c r="B25" s="529"/>
      <c r="C25" s="105">
        <v>132</v>
      </c>
      <c r="D25" s="105">
        <v>323</v>
      </c>
      <c r="E25" s="105">
        <v>332</v>
      </c>
      <c r="F25" s="105">
        <v>-145</v>
      </c>
      <c r="G25" s="105">
        <f>'Hist. dane kwart. - Q figures'!K25+'Hist. dane kwart. - Q figures'!L25</f>
        <v>-174</v>
      </c>
      <c r="H25" s="105">
        <f>'Hist. dane kwart. - Q figures'!M25+'Hist. dane kwart. - Q figures'!N25</f>
        <v>-113</v>
      </c>
      <c r="I25" s="105">
        <f>'Hist. dane kwart. - Q figures'!O25+'Hist. dane kwart. - Q figures'!P25</f>
        <v>-33</v>
      </c>
      <c r="J25" s="105">
        <f>'Hist. dane kwart. - Q figures'!Q25+'Hist. dane kwart. - Q figures'!R25</f>
        <v>-64</v>
      </c>
      <c r="K25" s="105"/>
      <c r="L25" s="105"/>
      <c r="M25" s="105"/>
    </row>
    <row r="26" spans="1:13">
      <c r="A26" s="87" t="s">
        <v>211</v>
      </c>
      <c r="B26" s="529"/>
      <c r="C26" s="105">
        <v>3</v>
      </c>
      <c r="D26" s="105">
        <v>13</v>
      </c>
      <c r="E26" s="105">
        <v>7</v>
      </c>
      <c r="F26" s="105">
        <v>10</v>
      </c>
      <c r="G26" s="105">
        <f>'Hist. dane kwart. - Q figures'!K26+'Hist. dane kwart. - Q figures'!L26</f>
        <v>-11</v>
      </c>
      <c r="H26" s="105">
        <f>'Hist. dane kwart. - Q figures'!M26+'Hist. dane kwart. - Q figures'!N26</f>
        <v>13</v>
      </c>
      <c r="I26" s="105">
        <f>'Hist. dane kwart. - Q figures'!O26+'Hist. dane kwart. - Q figures'!P26</f>
        <v>3</v>
      </c>
      <c r="J26" s="105">
        <f>'Hist. dane kwart. - Q figures'!Q26+'Hist. dane kwart. - Q figures'!R26</f>
        <v>-68</v>
      </c>
      <c r="K26" s="105"/>
      <c r="L26" s="105"/>
      <c r="M26" s="105"/>
    </row>
    <row r="27" spans="1:13">
      <c r="A27" s="262" t="s">
        <v>212</v>
      </c>
      <c r="B27" s="529"/>
      <c r="C27" s="105">
        <v>-25</v>
      </c>
      <c r="D27" s="105">
        <v>-63</v>
      </c>
      <c r="E27" s="105">
        <v>-63</v>
      </c>
      <c r="F27" s="105">
        <v>27</v>
      </c>
      <c r="G27" s="105">
        <f>'Hist. dane kwart. - Q figures'!K27+'Hist. dane kwart. - Q figures'!L27</f>
        <v>33</v>
      </c>
      <c r="H27" s="105">
        <f>'Hist. dane kwart. - Q figures'!M27+'Hist. dane kwart. - Q figures'!N27</f>
        <v>22</v>
      </c>
      <c r="I27" s="105">
        <f>'Hist. dane kwart. - Q figures'!O27+'Hist. dane kwart. - Q figures'!P27</f>
        <v>6</v>
      </c>
      <c r="J27" s="105">
        <f>'Hist. dane kwart. - Q figures'!Q27+'Hist. dane kwart. - Q figures'!R27</f>
        <v>12</v>
      </c>
      <c r="K27" s="105"/>
      <c r="L27" s="105"/>
      <c r="M27" s="105"/>
    </row>
    <row r="28" spans="1:13" ht="26.25">
      <c r="A28" s="578" t="s">
        <v>683</v>
      </c>
      <c r="B28" s="529"/>
      <c r="C28" s="581">
        <v>110</v>
      </c>
      <c r="D28" s="105">
        <v>273</v>
      </c>
      <c r="E28" s="105">
        <v>276</v>
      </c>
      <c r="F28" s="105">
        <v>-108</v>
      </c>
      <c r="G28" s="105">
        <f>'Hist. dane kwart. - Q figures'!K28+'Hist. dane kwart. - Q figures'!L28</f>
        <v>-152</v>
      </c>
      <c r="H28" s="105">
        <f>'Hist. dane kwart. - Q figures'!M28+'Hist. dane kwart. - Q figures'!N28</f>
        <v>-78</v>
      </c>
      <c r="I28" s="105">
        <f>'Hist. dane kwart. - Q figures'!O28+'Hist. dane kwart. - Q figures'!P28</f>
        <v>-24</v>
      </c>
      <c r="J28" s="105">
        <f>'Hist. dane kwart. - Q figures'!Q28+'Hist. dane kwart. - Q figures'!R28</f>
        <v>-120</v>
      </c>
      <c r="K28" s="105"/>
      <c r="L28" s="105"/>
      <c r="M28" s="105"/>
    </row>
    <row r="29" spans="1:13">
      <c r="A29" s="262" t="s">
        <v>684</v>
      </c>
      <c r="B29" s="529"/>
      <c r="C29" s="105">
        <v>45</v>
      </c>
      <c r="D29" s="105">
        <v>59</v>
      </c>
      <c r="E29" s="105">
        <f>93-14</f>
        <v>79</v>
      </c>
      <c r="F29" s="105">
        <v>-11</v>
      </c>
      <c r="G29" s="105">
        <f>'Hist. dane kwart. - Q figures'!K29+'Hist. dane kwart. - Q figures'!L29</f>
        <v>-16</v>
      </c>
      <c r="H29" s="105">
        <f>'Hist. dane kwart. - Q figures'!M29+'Hist. dane kwart. - Q figures'!N29</f>
        <v>-117</v>
      </c>
      <c r="I29" s="105">
        <f>'Hist. dane kwart. - Q figures'!O29+'Hist. dane kwart. - Q figures'!P29</f>
        <v>37</v>
      </c>
      <c r="J29" s="105">
        <f>'Hist. dane kwart. - Q figures'!Q29+'Hist. dane kwart. - Q figures'!R29</f>
        <v>-97</v>
      </c>
      <c r="K29" s="105"/>
      <c r="L29" s="105"/>
      <c r="M29" s="105"/>
    </row>
    <row r="30" spans="1:13">
      <c r="A30" s="262" t="s">
        <v>212</v>
      </c>
      <c r="B30" s="529"/>
      <c r="C30" s="105">
        <v>-8</v>
      </c>
      <c r="D30" s="105">
        <v>-10</v>
      </c>
      <c r="E30" s="105">
        <f>-18+3</f>
        <v>-15</v>
      </c>
      <c r="F30" s="105">
        <v>3</v>
      </c>
      <c r="G30" s="105">
        <f>'Hist. dane kwart. - Q figures'!K30+'Hist. dane kwart. - Q figures'!L30</f>
        <v>3</v>
      </c>
      <c r="H30" s="105">
        <f>'Hist. dane kwart. - Q figures'!M30+'Hist. dane kwart. - Q figures'!N30</f>
        <v>22</v>
      </c>
      <c r="I30" s="105">
        <f>'Hist. dane kwart. - Q figures'!O30+'Hist. dane kwart. - Q figures'!P30</f>
        <v>-7</v>
      </c>
      <c r="J30" s="105">
        <f>'Hist. dane kwart. - Q figures'!Q30+'Hist. dane kwart. - Q figures'!R30</f>
        <v>19</v>
      </c>
      <c r="K30" s="105"/>
      <c r="L30" s="105"/>
      <c r="M30" s="105"/>
    </row>
    <row r="31" spans="1:13" ht="26.25">
      <c r="A31" s="639" t="s">
        <v>821</v>
      </c>
      <c r="B31" s="529"/>
      <c r="C31" s="105"/>
      <c r="D31" s="105"/>
      <c r="E31" s="105"/>
      <c r="F31" s="105">
        <v>0</v>
      </c>
      <c r="G31" s="105"/>
      <c r="H31" s="105">
        <f>'Hist. dane kwart. - Q figures'!M31+'Hist. dane kwart. - Q figures'!N31</f>
        <v>-1</v>
      </c>
      <c r="I31" s="105">
        <f>'Hist. dane kwart. - Q figures'!O31+'Hist. dane kwart. - Q figures'!P31</f>
        <v>0</v>
      </c>
      <c r="J31" s="105">
        <f>'Hist. dane kwart. - Q figures'!Q31+'Hist. dane kwart. - Q figures'!R31</f>
        <v>0</v>
      </c>
      <c r="K31" s="105"/>
      <c r="L31" s="105"/>
      <c r="M31" s="105"/>
    </row>
    <row r="32" spans="1:13" ht="26.25">
      <c r="A32" s="578" t="s">
        <v>628</v>
      </c>
      <c r="B32" s="529"/>
      <c r="C32" s="105">
        <v>37</v>
      </c>
      <c r="D32" s="105">
        <v>49</v>
      </c>
      <c r="E32" s="105">
        <f>75-11</f>
        <v>64</v>
      </c>
      <c r="F32" s="105">
        <v>-8</v>
      </c>
      <c r="G32" s="105">
        <f>'Hist. dane kwart. - Q figures'!K32+'Hist. dane kwart. - Q figures'!L32</f>
        <v>-13</v>
      </c>
      <c r="H32" s="105">
        <f>'Hist. dane kwart. - Q figures'!M32+'Hist. dane kwart. - Q figures'!N32</f>
        <v>-96</v>
      </c>
      <c r="I32" s="105">
        <f>'Hist. dane kwart. - Q figures'!O32+'Hist. dane kwart. - Q figures'!P32</f>
        <v>30</v>
      </c>
      <c r="J32" s="105">
        <f>'Hist. dane kwart. - Q figures'!Q32+'Hist. dane kwart. - Q figures'!R32</f>
        <v>-78</v>
      </c>
      <c r="K32" s="105"/>
      <c r="L32" s="105"/>
      <c r="M32" s="105"/>
    </row>
    <row r="33" spans="1:13">
      <c r="A33" s="578"/>
      <c r="B33" s="529"/>
      <c r="C33" s="105"/>
      <c r="D33" s="105"/>
      <c r="E33" s="105"/>
      <c r="F33" s="105">
        <v>0</v>
      </c>
      <c r="G33" s="105"/>
      <c r="H33" s="105">
        <f>'Hist. dane kwart. - Q figures'!M33+'Hist. dane kwart. - Q figures'!N33</f>
        <v>0</v>
      </c>
      <c r="I33" s="105">
        <f>'Hist. dane kwart. - Q figures'!O33+'Hist. dane kwart. - Q figures'!P33</f>
        <v>0</v>
      </c>
      <c r="J33" s="105">
        <f>'Hist. dane kwart. - Q figures'!Q33+'Hist. dane kwart. - Q figures'!R33</f>
        <v>0</v>
      </c>
      <c r="K33" s="105"/>
      <c r="L33" s="105"/>
      <c r="M33" s="105"/>
    </row>
    <row r="34" spans="1:13" ht="26.25">
      <c r="A34" s="578" t="s">
        <v>744</v>
      </c>
      <c r="B34" s="529"/>
      <c r="C34" s="105"/>
      <c r="D34" s="105">
        <v>11</v>
      </c>
      <c r="E34" s="105">
        <v>11</v>
      </c>
      <c r="F34" s="105">
        <v>7</v>
      </c>
      <c r="G34" s="105">
        <f>'Hist. dane kwart. - Q figures'!K34+'Hist. dane kwart. - Q figures'!L34</f>
        <v>0</v>
      </c>
      <c r="H34" s="105">
        <f>'Hist. dane kwart. - Q figures'!M34+'Hist. dane kwart. - Q figures'!N34</f>
        <v>0</v>
      </c>
      <c r="I34" s="105">
        <f>'Hist. dane kwart. - Q figures'!O34+'Hist. dane kwart. - Q figures'!P34</f>
        <v>0</v>
      </c>
      <c r="J34" s="105">
        <f>'Hist. dane kwart. - Q figures'!Q34+'Hist. dane kwart. - Q figures'!R34</f>
        <v>0</v>
      </c>
      <c r="K34" s="105"/>
      <c r="L34" s="105"/>
      <c r="M34" s="105"/>
    </row>
    <row r="35" spans="1:13">
      <c r="A35" s="252"/>
      <c r="B35" s="529"/>
      <c r="C35" s="105"/>
      <c r="D35" s="105"/>
      <c r="F35" s="105"/>
      <c r="G35" s="105"/>
      <c r="H35" s="105">
        <f>'Hist. dane kwart. - Q figures'!M35+'Hist. dane kwart. - Q figures'!N35</f>
        <v>0</v>
      </c>
      <c r="I35" s="105">
        <f>'Hist. dane kwart. - Q figures'!O35+'Hist. dane kwart. - Q figures'!P35</f>
        <v>0</v>
      </c>
      <c r="J35" s="105">
        <f>'Hist. dane kwart. - Q figures'!Q35+'Hist. dane kwart. - Q figures'!R35</f>
        <v>0</v>
      </c>
      <c r="K35" s="105"/>
      <c r="L35" s="105"/>
      <c r="M35" s="105"/>
    </row>
    <row r="36" spans="1:13">
      <c r="A36" s="565" t="s">
        <v>213</v>
      </c>
      <c r="B36" s="529"/>
      <c r="C36" s="105">
        <v>147</v>
      </c>
      <c r="D36" s="105">
        <v>333</v>
      </c>
      <c r="E36" s="72">
        <v>351</v>
      </c>
      <c r="F36" s="105">
        <v>-109</v>
      </c>
      <c r="G36" s="105">
        <f>'Hist. dane kwart. - Q figures'!K36+'Hist. dane kwart. - Q figures'!L36</f>
        <v>-165</v>
      </c>
      <c r="H36" s="105">
        <f>'Hist. dane kwart. - Q figures'!M36+'Hist. dane kwart. - Q figures'!N36</f>
        <v>-174</v>
      </c>
      <c r="I36" s="105">
        <f>'Hist. dane kwart. - Q figures'!O36+'Hist. dane kwart. - Q figures'!P36</f>
        <v>6</v>
      </c>
      <c r="J36" s="105">
        <f>'Hist. dane kwart. - Q figures'!Q36+'Hist. dane kwart. - Q figures'!R36</f>
        <v>-198</v>
      </c>
      <c r="K36" s="105"/>
      <c r="L36" s="105"/>
      <c r="M36" s="105"/>
    </row>
    <row r="37" spans="1:13">
      <c r="A37" s="565" t="s">
        <v>685</v>
      </c>
      <c r="B37" s="529"/>
      <c r="C37" s="581">
        <v>529</v>
      </c>
      <c r="D37" s="581">
        <v>336</v>
      </c>
      <c r="E37" s="72">
        <v>980</v>
      </c>
      <c r="F37" s="105">
        <v>-872</v>
      </c>
      <c r="G37" s="105">
        <f>'Hist. dane kwart. - Q figures'!K37+'Hist. dane kwart. - Q figures'!L37</f>
        <v>1248</v>
      </c>
      <c r="H37" s="105">
        <f>'Hist. dane kwart. - Q figures'!M37+'Hist. dane kwart. - Q figures'!N37</f>
        <v>-459</v>
      </c>
      <c r="I37" s="105">
        <f>'Hist. dane kwart. - Q figures'!O37+'Hist. dane kwart. - Q figures'!P37</f>
        <v>-509</v>
      </c>
      <c r="J37" s="105">
        <f>'Hist. dane kwart. - Q figures'!Q37+'Hist. dane kwart. - Q figures'!R37</f>
        <v>907</v>
      </c>
      <c r="K37" s="105"/>
      <c r="L37" s="105"/>
      <c r="M37" s="105"/>
    </row>
    <row r="38" spans="1:13">
      <c r="A38" s="80" t="s">
        <v>380</v>
      </c>
      <c r="B38" s="529"/>
      <c r="D38" s="105"/>
      <c r="F38" s="105"/>
      <c r="G38" s="105">
        <f>'Hist. dane kwart. - Q figures'!K38+'Hist. dane kwart. - Q figures'!L38</f>
        <v>0</v>
      </c>
      <c r="H38" s="105">
        <f>'Hist. dane kwart. - Q figures'!M38+'Hist. dane kwart. - Q figures'!N38</f>
        <v>0</v>
      </c>
      <c r="I38" s="105">
        <f>'Hist. dane kwart. - Q figures'!O38+'Hist. dane kwart. - Q figures'!P38</f>
        <v>0</v>
      </c>
      <c r="J38" s="105">
        <f>'Hist. dane kwart. - Q figures'!Q38+'Hist. dane kwart. - Q figures'!R38</f>
        <v>0</v>
      </c>
      <c r="K38" s="105"/>
      <c r="L38" s="105"/>
      <c r="M38" s="105"/>
    </row>
    <row r="39" spans="1:13">
      <c r="A39" s="87" t="s">
        <v>381</v>
      </c>
      <c r="B39" s="529"/>
      <c r="C39" s="105">
        <v>356</v>
      </c>
      <c r="D39" s="105">
        <v>-18</v>
      </c>
      <c r="E39" s="72">
        <v>627</v>
      </c>
      <c r="F39" s="105">
        <v>-761</v>
      </c>
      <c r="G39" s="105">
        <f>'Hist. dane kwart. - Q figures'!K39+'Hist. dane kwart. - Q figures'!L39</f>
        <v>1410</v>
      </c>
      <c r="H39" s="105">
        <f>'Hist. dane kwart. - Q figures'!M39+'Hist. dane kwart. - Q figures'!N39</f>
        <v>-287</v>
      </c>
      <c r="I39" s="105">
        <f>'Hist. dane kwart. - Q figures'!O39+'Hist. dane kwart. - Q figures'!P39</f>
        <v>-517</v>
      </c>
      <c r="J39" s="105">
        <f>'Hist. dane kwart. - Q figures'!Q39+'Hist. dane kwart. - Q figures'!R39</f>
        <v>1102</v>
      </c>
      <c r="K39" s="105"/>
      <c r="L39" s="105"/>
      <c r="M39" s="105"/>
    </row>
    <row r="40" spans="1:13">
      <c r="A40" s="87" t="s">
        <v>382</v>
      </c>
      <c r="B40" s="529"/>
      <c r="C40" s="105">
        <v>26</v>
      </c>
      <c r="D40" s="105">
        <v>21</v>
      </c>
      <c r="E40" s="72">
        <v>2</v>
      </c>
      <c r="F40" s="105">
        <v>-2</v>
      </c>
      <c r="G40" s="105">
        <f>'Hist. dane kwart. - Q figures'!K40+'Hist. dane kwart. - Q figures'!L40</f>
        <v>3</v>
      </c>
      <c r="H40" s="105">
        <f>'Hist. dane kwart. - Q figures'!M40+'Hist. dane kwart. - Q figures'!N40</f>
        <v>2</v>
      </c>
      <c r="I40" s="105">
        <f>'Hist. dane kwart. - Q figures'!O40+'Hist. dane kwart. - Q figures'!P40</f>
        <v>2</v>
      </c>
      <c r="J40" s="105">
        <f>'Hist. dane kwart. - Q figures'!Q40+'Hist. dane kwart. - Q figures'!R40</f>
        <v>3</v>
      </c>
      <c r="K40" s="105"/>
      <c r="L40" s="105"/>
      <c r="M40" s="105"/>
    </row>
    <row r="41" spans="1:13">
      <c r="A41" s="80" t="s">
        <v>217</v>
      </c>
      <c r="B41" s="529"/>
      <c r="C41" s="105"/>
      <c r="D41" s="105"/>
      <c r="F41" s="105">
        <v>0</v>
      </c>
      <c r="G41" s="105">
        <f>'Hist. dane kwart. - Q figures'!K41+'Hist. dane kwart. - Q figures'!L41</f>
        <v>0</v>
      </c>
      <c r="H41" s="105">
        <f>'Hist. dane kwart. - Q figures'!M41+'Hist. dane kwart. - Q figures'!N41</f>
        <v>0</v>
      </c>
      <c r="I41" s="105">
        <f>'Hist. dane kwart. - Q figures'!O41+'Hist. dane kwart. - Q figures'!P41</f>
        <v>0</v>
      </c>
      <c r="J41" s="105">
        <f>'Hist. dane kwart. - Q figures'!Q41+'Hist. dane kwart. - Q figures'!R41</f>
        <v>0</v>
      </c>
      <c r="K41" s="105"/>
      <c r="L41" s="105"/>
      <c r="M41" s="105"/>
    </row>
    <row r="42" spans="1:13">
      <c r="A42" s="87" t="s">
        <v>381</v>
      </c>
      <c r="B42" s="529"/>
      <c r="C42" s="105">
        <v>503</v>
      </c>
      <c r="D42" s="105">
        <v>315</v>
      </c>
      <c r="E42" s="72">
        <v>978</v>
      </c>
      <c r="F42" s="105">
        <v>-870</v>
      </c>
      <c r="G42" s="105">
        <f>'Hist. dane kwart. - Q figures'!K42+'Hist. dane kwart. - Q figures'!L42</f>
        <v>1245</v>
      </c>
      <c r="H42" s="105">
        <f>'Hist. dane kwart. - Q figures'!M42+'Hist. dane kwart. - Q figures'!N42</f>
        <v>-461</v>
      </c>
      <c r="I42" s="105">
        <f>'Hist. dane kwart. - Q figures'!O42+'Hist. dane kwart. - Q figures'!P42</f>
        <v>-511</v>
      </c>
      <c r="J42" s="105">
        <f>'Hist. dane kwart. - Q figures'!Q42+'Hist. dane kwart. - Q figures'!R42</f>
        <v>904</v>
      </c>
      <c r="K42" s="105"/>
      <c r="L42" s="105"/>
      <c r="M42" s="105"/>
    </row>
    <row r="43" spans="1:13">
      <c r="A43" s="267" t="s">
        <v>382</v>
      </c>
      <c r="B43" s="529"/>
      <c r="C43" s="105">
        <v>26</v>
      </c>
      <c r="D43" s="105">
        <v>21</v>
      </c>
      <c r="E43" s="72">
        <v>2</v>
      </c>
      <c r="F43" s="105">
        <v>-2</v>
      </c>
      <c r="G43" s="105">
        <f>'Hist. dane kwart. - Q figures'!K43+'Hist. dane kwart. - Q figures'!L43</f>
        <v>3</v>
      </c>
      <c r="H43" s="105">
        <f>'Hist. dane kwart. - Q figures'!M43+'Hist. dane kwart. - Q figures'!N43</f>
        <v>2</v>
      </c>
      <c r="I43" s="105">
        <f>'Hist. dane kwart. - Q figures'!O43+'Hist. dane kwart. - Q figures'!P43</f>
        <v>2</v>
      </c>
      <c r="J43" s="105">
        <f>'Hist. dane kwart. - Q figures'!Q43+'Hist. dane kwart. - Q figures'!R43</f>
        <v>3</v>
      </c>
      <c r="K43" s="105"/>
      <c r="L43" s="105"/>
      <c r="M43" s="105"/>
    </row>
    <row r="44" spans="1:13">
      <c r="A44" s="80"/>
      <c r="B44" s="529"/>
      <c r="C44" s="108"/>
      <c r="D44" s="108"/>
      <c r="E44" s="108"/>
      <c r="F44" s="108">
        <v>0</v>
      </c>
      <c r="G44" s="108"/>
      <c r="H44" s="108"/>
      <c r="I44" s="108"/>
      <c r="J44" s="108">
        <v>0</v>
      </c>
      <c r="K44" s="105"/>
      <c r="L44" s="105"/>
      <c r="M44" s="105"/>
    </row>
    <row r="45" spans="1:13">
      <c r="A45" s="577" t="s">
        <v>687</v>
      </c>
      <c r="B45" s="530"/>
      <c r="C45" s="109">
        <v>0.2</v>
      </c>
      <c r="D45" s="109">
        <v>-1.0000000000000009E-2</v>
      </c>
      <c r="E45" s="109">
        <v>0.35776452415354865</v>
      </c>
      <c r="F45" s="109">
        <v>-0.43422456599816672</v>
      </c>
      <c r="G45" s="109">
        <f>'Hist. dane kwart. - Q figures'!K45+'Hist. dane kwart. - Q figures'!L45</f>
        <v>0.8</v>
      </c>
      <c r="H45" s="109">
        <f>'Hist. dane kwart. - Q figures'!M45+'Hist. dane kwart. - Q figures'!N45</f>
        <v>-0.16</v>
      </c>
      <c r="I45" s="109">
        <f>'Hist. dane kwart. - Q figures'!O45+'Hist. dane kwart. - Q figures'!P45</f>
        <v>-0.3</v>
      </c>
      <c r="J45" s="109">
        <f>'Hist. dane kwart. - Q figures'!Q45+'Hist. dane kwart. - Q figures'!R45</f>
        <v>0.63232930277113775</v>
      </c>
      <c r="K45" s="105"/>
      <c r="L45" s="105"/>
      <c r="M45" s="105"/>
    </row>
    <row r="46" spans="1:13">
      <c r="A46" s="262"/>
      <c r="B46" s="529"/>
      <c r="D46" s="105"/>
    </row>
    <row r="47" spans="1:13" ht="15.75">
      <c r="A47" s="575" t="s">
        <v>383</v>
      </c>
      <c r="C47" s="89"/>
      <c r="D47" s="89"/>
      <c r="E47" s="89"/>
      <c r="F47" s="696"/>
      <c r="G47" s="697"/>
      <c r="H47" s="697"/>
      <c r="I47" s="697"/>
      <c r="J47" s="697"/>
    </row>
    <row r="48" spans="1:13" ht="47.25" customHeight="1">
      <c r="A48" s="576" t="s">
        <v>679</v>
      </c>
      <c r="D48" s="73" t="s">
        <v>666</v>
      </c>
      <c r="E48" s="73" t="s">
        <v>708</v>
      </c>
      <c r="F48" s="73" t="s">
        <v>886</v>
      </c>
      <c r="G48" s="73" t="s">
        <v>794</v>
      </c>
      <c r="H48" s="73" t="s">
        <v>842</v>
      </c>
      <c r="I48" s="73" t="s">
        <v>851</v>
      </c>
      <c r="J48" s="73" t="s">
        <v>888</v>
      </c>
    </row>
    <row r="49" spans="1:14">
      <c r="A49" s="80" t="s">
        <v>219</v>
      </c>
    </row>
    <row r="50" spans="1:14">
      <c r="A50" s="80" t="s">
        <v>220</v>
      </c>
      <c r="D50" s="105"/>
    </row>
    <row r="51" spans="1:14">
      <c r="A51" s="80" t="s">
        <v>221</v>
      </c>
      <c r="D51" s="106">
        <v>29174</v>
      </c>
      <c r="E51" s="106">
        <v>29272</v>
      </c>
      <c r="F51" s="106">
        <v>29731</v>
      </c>
      <c r="G51" s="106">
        <v>30636</v>
      </c>
      <c r="H51" s="106">
        <v>31872</v>
      </c>
      <c r="I51" s="106">
        <v>31061</v>
      </c>
      <c r="J51" s="106">
        <v>33247</v>
      </c>
      <c r="L51" s="105"/>
      <c r="M51" s="105"/>
      <c r="N51" s="105"/>
    </row>
    <row r="52" spans="1:14">
      <c r="A52" s="80" t="s">
        <v>534</v>
      </c>
      <c r="D52" s="106">
        <v>1946</v>
      </c>
      <c r="E52" s="106">
        <v>1999</v>
      </c>
      <c r="F52" s="106">
        <v>1996</v>
      </c>
      <c r="G52" s="106">
        <v>2025</v>
      </c>
      <c r="H52" s="106">
        <v>2164</v>
      </c>
      <c r="I52" s="106">
        <v>2364</v>
      </c>
      <c r="J52" s="106">
        <v>2495</v>
      </c>
      <c r="L52" s="105"/>
      <c r="M52" s="105"/>
      <c r="N52" s="105"/>
    </row>
    <row r="53" spans="1:14">
      <c r="A53" s="80" t="s">
        <v>222</v>
      </c>
      <c r="D53" s="106">
        <v>26</v>
      </c>
      <c r="E53" s="106">
        <v>26</v>
      </c>
      <c r="F53" s="106">
        <v>26</v>
      </c>
      <c r="G53" s="106">
        <v>26</v>
      </c>
      <c r="H53" s="106">
        <v>26</v>
      </c>
      <c r="I53" s="106">
        <v>26</v>
      </c>
      <c r="J53" s="106">
        <v>26</v>
      </c>
      <c r="L53" s="105"/>
      <c r="M53" s="105"/>
      <c r="N53" s="105"/>
    </row>
    <row r="54" spans="1:14" ht="28.5">
      <c r="A54" s="123" t="s">
        <v>610</v>
      </c>
      <c r="D54" s="106">
        <v>444</v>
      </c>
      <c r="E54" s="106">
        <v>0</v>
      </c>
      <c r="F54" s="106">
        <v>55</v>
      </c>
      <c r="G54" s="106">
        <v>0</v>
      </c>
      <c r="H54" s="106">
        <v>24</v>
      </c>
      <c r="I54" s="106">
        <v>24</v>
      </c>
      <c r="J54" s="106">
        <v>38</v>
      </c>
      <c r="L54" s="105"/>
      <c r="M54" s="105"/>
      <c r="N54" s="105"/>
    </row>
    <row r="55" spans="1:14">
      <c r="A55" s="80" t="s">
        <v>223</v>
      </c>
      <c r="D55" s="106">
        <v>540</v>
      </c>
      <c r="E55" s="106">
        <v>644</v>
      </c>
      <c r="F55" s="106">
        <v>726</v>
      </c>
      <c r="G55" s="106">
        <v>709</v>
      </c>
      <c r="H55" s="106">
        <v>848</v>
      </c>
      <c r="I55" s="106">
        <v>799</v>
      </c>
      <c r="J55" s="106">
        <v>768</v>
      </c>
      <c r="L55" s="105"/>
      <c r="M55" s="105"/>
      <c r="N55" s="105"/>
    </row>
    <row r="56" spans="1:14">
      <c r="A56" s="80" t="s">
        <v>224</v>
      </c>
      <c r="D56" s="106">
        <v>597</v>
      </c>
      <c r="E56" s="106">
        <v>652</v>
      </c>
      <c r="F56" s="106">
        <v>682</v>
      </c>
      <c r="G56" s="106">
        <v>736</v>
      </c>
      <c r="H56" s="106">
        <v>169</v>
      </c>
      <c r="I56" s="106">
        <v>190</v>
      </c>
      <c r="J56" s="106">
        <v>190</v>
      </c>
      <c r="L56" s="105"/>
      <c r="M56" s="105"/>
      <c r="N56" s="105"/>
    </row>
    <row r="57" spans="1:14">
      <c r="A57" s="80" t="s">
        <v>225</v>
      </c>
      <c r="D57" s="106">
        <v>99</v>
      </c>
      <c r="E57" s="106">
        <v>199</v>
      </c>
      <c r="F57" s="106">
        <v>206</v>
      </c>
      <c r="G57" s="106">
        <v>220</v>
      </c>
      <c r="H57" s="106">
        <v>357</v>
      </c>
      <c r="I57" s="106">
        <v>448</v>
      </c>
      <c r="J57" s="106">
        <v>479</v>
      </c>
      <c r="L57" s="105"/>
      <c r="M57" s="105"/>
      <c r="N57" s="105"/>
    </row>
    <row r="58" spans="1:14">
      <c r="A58" s="80" t="s">
        <v>387</v>
      </c>
      <c r="D58" s="106">
        <v>532</v>
      </c>
      <c r="E58" s="106">
        <v>690</v>
      </c>
      <c r="F58" s="106">
        <v>390</v>
      </c>
      <c r="G58" s="106">
        <v>244</v>
      </c>
      <c r="H58" s="106">
        <v>149</v>
      </c>
      <c r="I58" s="106">
        <v>180</v>
      </c>
      <c r="J58" s="106">
        <v>90</v>
      </c>
      <c r="L58" s="105"/>
      <c r="M58" s="105"/>
      <c r="N58" s="105"/>
    </row>
    <row r="59" spans="1:14">
      <c r="A59" s="80" t="s">
        <v>226</v>
      </c>
      <c r="D59" s="106">
        <v>215</v>
      </c>
      <c r="E59" s="106">
        <v>232</v>
      </c>
      <c r="F59" s="106">
        <v>301</v>
      </c>
      <c r="G59" s="106">
        <v>239</v>
      </c>
      <c r="H59" s="106">
        <v>278</v>
      </c>
      <c r="I59" s="106">
        <v>262</v>
      </c>
      <c r="J59" s="106">
        <v>259</v>
      </c>
      <c r="L59" s="105"/>
      <c r="M59" s="105"/>
      <c r="N59" s="105"/>
    </row>
    <row r="60" spans="1:14">
      <c r="A60" s="80" t="s">
        <v>227</v>
      </c>
      <c r="D60" s="106">
        <v>159</v>
      </c>
      <c r="E60" s="106">
        <v>272</v>
      </c>
      <c r="F60" s="106">
        <v>268</v>
      </c>
      <c r="G60" s="106">
        <v>322</v>
      </c>
      <c r="H60" s="106">
        <v>707</v>
      </c>
      <c r="I60" s="106">
        <v>892</v>
      </c>
      <c r="J60" s="106">
        <v>333</v>
      </c>
      <c r="L60" s="105"/>
      <c r="M60" s="105"/>
      <c r="N60" s="105"/>
    </row>
    <row r="61" spans="1:14">
      <c r="A61" s="84" t="s">
        <v>384</v>
      </c>
      <c r="D61" s="112">
        <v>123</v>
      </c>
      <c r="E61" s="112">
        <v>1212</v>
      </c>
      <c r="F61" s="112">
        <v>672</v>
      </c>
      <c r="G61" s="112">
        <v>532</v>
      </c>
      <c r="H61" s="112">
        <v>759</v>
      </c>
      <c r="I61" s="112">
        <v>369</v>
      </c>
      <c r="J61" s="112">
        <v>144</v>
      </c>
      <c r="L61" s="105"/>
      <c r="M61" s="105"/>
      <c r="N61" s="105"/>
    </row>
    <row r="62" spans="1:14">
      <c r="A62" s="100"/>
      <c r="D62" s="106">
        <v>33855</v>
      </c>
      <c r="E62" s="106">
        <v>35198</v>
      </c>
      <c r="F62" s="106">
        <v>35053</v>
      </c>
      <c r="G62" s="106">
        <v>35689</v>
      </c>
      <c r="H62" s="106">
        <v>37353</v>
      </c>
      <c r="I62" s="106">
        <v>36615</v>
      </c>
      <c r="J62" s="106">
        <v>38069</v>
      </c>
      <c r="L62" s="105"/>
      <c r="M62" s="105"/>
      <c r="N62" s="105"/>
    </row>
    <row r="63" spans="1:14">
      <c r="A63" s="80" t="s">
        <v>229</v>
      </c>
      <c r="L63" s="105"/>
      <c r="M63" s="105"/>
      <c r="N63" s="105"/>
    </row>
    <row r="64" spans="1:14" ht="28.5">
      <c r="A64" s="123" t="s">
        <v>609</v>
      </c>
      <c r="D64" s="106">
        <v>157</v>
      </c>
      <c r="E64" s="106">
        <v>576</v>
      </c>
      <c r="F64" s="106">
        <v>597</v>
      </c>
      <c r="G64" s="106">
        <v>395</v>
      </c>
      <c r="H64" s="106">
        <v>702</v>
      </c>
      <c r="I64" s="106">
        <v>527</v>
      </c>
      <c r="J64" s="106">
        <v>360</v>
      </c>
      <c r="L64" s="105"/>
      <c r="M64" s="105"/>
      <c r="N64" s="105"/>
    </row>
    <row r="65" spans="1:56">
      <c r="A65" s="80" t="s">
        <v>230</v>
      </c>
      <c r="D65" s="106">
        <v>543</v>
      </c>
      <c r="E65" s="106">
        <v>577</v>
      </c>
      <c r="F65" s="106">
        <v>1118</v>
      </c>
      <c r="G65" s="106">
        <v>1638</v>
      </c>
      <c r="H65" s="106">
        <v>1483</v>
      </c>
      <c r="I65" s="106">
        <v>1184</v>
      </c>
      <c r="J65" s="106">
        <v>937</v>
      </c>
      <c r="L65" s="105"/>
      <c r="M65" s="105"/>
      <c r="N65" s="105"/>
      <c r="AO65" s="107"/>
    </row>
    <row r="66" spans="1:56" s="129" customFormat="1" ht="15" customHeight="1">
      <c r="A66" s="80" t="s">
        <v>231</v>
      </c>
      <c r="B66" s="528"/>
      <c r="C66" s="72"/>
      <c r="D66" s="106">
        <v>3322</v>
      </c>
      <c r="E66" s="106">
        <v>3519</v>
      </c>
      <c r="F66" s="106">
        <v>3775</v>
      </c>
      <c r="G66" s="106">
        <v>4741</v>
      </c>
      <c r="H66" s="106">
        <v>4681</v>
      </c>
      <c r="I66" s="106">
        <v>4041</v>
      </c>
      <c r="J66" s="106">
        <v>4089</v>
      </c>
      <c r="K66" s="72"/>
      <c r="L66" s="105"/>
      <c r="M66" s="105"/>
      <c r="N66" s="105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107"/>
      <c r="AZ66" s="107"/>
      <c r="BA66" s="107"/>
      <c r="BB66" s="107"/>
      <c r="BC66" s="107"/>
      <c r="BD66" s="107"/>
    </row>
    <row r="67" spans="1:56" s="130" customFormat="1">
      <c r="A67" s="80" t="s">
        <v>385</v>
      </c>
      <c r="B67" s="528"/>
      <c r="C67" s="72"/>
      <c r="D67" s="106">
        <v>415</v>
      </c>
      <c r="E67" s="106">
        <v>158</v>
      </c>
      <c r="F67" s="106">
        <v>518</v>
      </c>
      <c r="G67" s="106">
        <v>210</v>
      </c>
      <c r="H67" s="106">
        <v>105</v>
      </c>
      <c r="I67" s="106">
        <v>36</v>
      </c>
      <c r="J67" s="106">
        <v>130</v>
      </c>
      <c r="K67" s="72"/>
      <c r="L67" s="105"/>
      <c r="M67" s="105"/>
      <c r="N67" s="105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107"/>
      <c r="AZ67" s="107"/>
      <c r="BA67" s="107"/>
      <c r="BB67" s="107"/>
      <c r="BC67" s="107"/>
      <c r="BD67" s="107"/>
    </row>
    <row r="68" spans="1:56" s="130" customFormat="1">
      <c r="A68" s="80" t="s">
        <v>232</v>
      </c>
      <c r="B68" s="528"/>
      <c r="C68" s="72"/>
      <c r="D68" s="105">
        <v>292</v>
      </c>
      <c r="E68" s="105">
        <v>578</v>
      </c>
      <c r="F68" s="105">
        <v>803</v>
      </c>
      <c r="G68" s="105">
        <v>443</v>
      </c>
      <c r="H68" s="105">
        <v>794</v>
      </c>
      <c r="I68" s="105">
        <v>421</v>
      </c>
      <c r="J68" s="105">
        <v>459</v>
      </c>
      <c r="K68" s="72"/>
      <c r="L68" s="105"/>
      <c r="M68" s="105"/>
      <c r="N68" s="105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107"/>
      <c r="AZ68" s="107"/>
      <c r="BA68" s="107"/>
      <c r="BB68" s="107"/>
      <c r="BC68" s="107"/>
      <c r="BD68" s="107"/>
    </row>
    <row r="69" spans="1:56" s="129" customFormat="1" ht="14.65" customHeight="1">
      <c r="A69" s="80" t="s">
        <v>225</v>
      </c>
      <c r="B69" s="528"/>
      <c r="C69" s="72"/>
      <c r="D69" s="106">
        <v>0</v>
      </c>
      <c r="E69" s="106">
        <v>0</v>
      </c>
      <c r="F69" s="106">
        <v>0</v>
      </c>
      <c r="G69" s="106">
        <v>0</v>
      </c>
      <c r="H69" s="106">
        <v>0</v>
      </c>
      <c r="I69" s="106">
        <v>0</v>
      </c>
      <c r="J69" s="106">
        <v>0</v>
      </c>
      <c r="K69" s="72"/>
      <c r="L69" s="105"/>
      <c r="M69" s="105"/>
      <c r="N69" s="105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107"/>
      <c r="AZ69" s="107"/>
      <c r="BA69" s="107"/>
      <c r="BB69" s="107"/>
      <c r="BC69" s="107"/>
      <c r="BD69" s="107"/>
    </row>
    <row r="70" spans="1:56" s="130" customFormat="1">
      <c r="A70" s="80" t="s">
        <v>688</v>
      </c>
      <c r="B70" s="528"/>
      <c r="C70" s="72"/>
      <c r="D70" s="106">
        <v>465</v>
      </c>
      <c r="E70" s="106">
        <v>943</v>
      </c>
      <c r="F70" s="106">
        <v>459</v>
      </c>
      <c r="G70" s="106">
        <v>345</v>
      </c>
      <c r="H70" s="106">
        <v>275</v>
      </c>
      <c r="I70" s="106">
        <v>369</v>
      </c>
      <c r="J70" s="106">
        <v>159</v>
      </c>
      <c r="K70" s="72"/>
      <c r="L70" s="105"/>
      <c r="M70" s="105"/>
      <c r="N70" s="105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107"/>
      <c r="AZ70" s="107"/>
      <c r="BA70" s="107"/>
      <c r="BB70" s="107"/>
      <c r="BC70" s="107"/>
      <c r="BD70" s="107"/>
    </row>
    <row r="71" spans="1:56" s="130" customFormat="1">
      <c r="A71" s="80" t="s">
        <v>226</v>
      </c>
      <c r="B71" s="528"/>
      <c r="C71" s="72"/>
      <c r="D71" s="106">
        <v>89</v>
      </c>
      <c r="E71" s="106">
        <v>121</v>
      </c>
      <c r="F71" s="106">
        <v>478</v>
      </c>
      <c r="G71" s="106">
        <v>2451</v>
      </c>
      <c r="H71" s="106">
        <v>2449</v>
      </c>
      <c r="I71" s="106">
        <v>921</v>
      </c>
      <c r="J71" s="106">
        <v>743</v>
      </c>
      <c r="K71" s="72"/>
      <c r="L71" s="105"/>
      <c r="M71" s="105"/>
      <c r="N71" s="105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107"/>
      <c r="AZ71" s="107"/>
      <c r="BA71" s="107"/>
      <c r="BB71" s="107"/>
      <c r="BC71" s="107"/>
      <c r="BD71" s="107"/>
    </row>
    <row r="72" spans="1:56">
      <c r="A72" s="118" t="s">
        <v>227</v>
      </c>
      <c r="D72" s="106">
        <v>112</v>
      </c>
      <c r="E72" s="106">
        <v>124</v>
      </c>
      <c r="F72" s="106">
        <v>790</v>
      </c>
      <c r="G72" s="106">
        <v>534</v>
      </c>
      <c r="H72" s="106">
        <v>207</v>
      </c>
      <c r="I72" s="106">
        <v>391</v>
      </c>
      <c r="J72" s="106">
        <v>167</v>
      </c>
      <c r="L72" s="105"/>
      <c r="M72" s="105"/>
      <c r="N72" s="105"/>
    </row>
    <row r="73" spans="1:56">
      <c r="A73" s="80" t="s">
        <v>233</v>
      </c>
      <c r="D73" s="106">
        <v>815</v>
      </c>
      <c r="E73" s="106">
        <v>874</v>
      </c>
      <c r="F73" s="106">
        <v>1678</v>
      </c>
      <c r="G73" s="106">
        <v>1247</v>
      </c>
      <c r="H73" s="106">
        <v>1084</v>
      </c>
      <c r="I73" s="106">
        <v>489</v>
      </c>
      <c r="J73" s="106">
        <v>596</v>
      </c>
      <c r="L73" s="105"/>
      <c r="M73" s="105"/>
      <c r="N73" s="105"/>
    </row>
    <row r="74" spans="1:56">
      <c r="A74" s="263" t="s">
        <v>607</v>
      </c>
      <c r="D74" s="106">
        <v>10</v>
      </c>
      <c r="E74" s="106">
        <v>8</v>
      </c>
      <c r="F74" s="106">
        <v>7</v>
      </c>
      <c r="G74" s="106">
        <v>7</v>
      </c>
      <c r="H74" s="106">
        <v>5</v>
      </c>
      <c r="I74" s="106">
        <v>6</v>
      </c>
      <c r="J74" s="106">
        <v>5</v>
      </c>
      <c r="L74" s="105"/>
      <c r="M74" s="105"/>
      <c r="N74" s="105"/>
    </row>
    <row r="75" spans="1:56">
      <c r="A75" s="80"/>
      <c r="D75" s="113">
        <v>6220</v>
      </c>
      <c r="E75" s="113">
        <v>7478</v>
      </c>
      <c r="F75" s="113">
        <v>10223</v>
      </c>
      <c r="G75" s="113">
        <v>12011</v>
      </c>
      <c r="H75" s="113">
        <v>11785</v>
      </c>
      <c r="I75" s="113">
        <v>8385</v>
      </c>
      <c r="J75" s="113">
        <v>7645</v>
      </c>
      <c r="L75" s="105"/>
      <c r="M75" s="105"/>
      <c r="N75" s="105"/>
    </row>
    <row r="76" spans="1:56">
      <c r="A76" s="80"/>
      <c r="L76" s="105"/>
      <c r="M76" s="105"/>
      <c r="N76" s="105"/>
    </row>
    <row r="77" spans="1:56">
      <c r="A77" s="74" t="s">
        <v>234</v>
      </c>
      <c r="D77" s="108">
        <v>40075</v>
      </c>
      <c r="E77" s="108">
        <v>42676</v>
      </c>
      <c r="F77" s="108">
        <v>45276</v>
      </c>
      <c r="G77" s="108">
        <v>47700</v>
      </c>
      <c r="H77" s="108">
        <v>49138</v>
      </c>
      <c r="I77" s="108">
        <v>45000</v>
      </c>
      <c r="J77" s="108">
        <v>45714</v>
      </c>
      <c r="L77" s="105"/>
      <c r="M77" s="105"/>
      <c r="N77" s="105"/>
    </row>
    <row r="78" spans="1:56">
      <c r="A78" s="80"/>
      <c r="F78" s="105"/>
      <c r="L78" s="105"/>
      <c r="M78" s="105"/>
      <c r="N78" s="105"/>
    </row>
    <row r="79" spans="1:56">
      <c r="A79" s="96" t="s">
        <v>235</v>
      </c>
      <c r="F79" s="105"/>
      <c r="L79" s="105"/>
      <c r="M79" s="105"/>
      <c r="N79" s="105"/>
    </row>
    <row r="80" spans="1:56">
      <c r="A80" s="80" t="s">
        <v>386</v>
      </c>
      <c r="F80" s="105"/>
      <c r="L80" s="105"/>
      <c r="M80" s="105"/>
      <c r="N80" s="105"/>
    </row>
    <row r="81" spans="1:14">
      <c r="A81" s="80" t="s">
        <v>237</v>
      </c>
      <c r="D81" s="106">
        <v>8763</v>
      </c>
      <c r="E81" s="106">
        <v>8763</v>
      </c>
      <c r="F81" s="106">
        <v>8763</v>
      </c>
      <c r="G81" s="106">
        <v>8763</v>
      </c>
      <c r="H81" s="106">
        <v>8763</v>
      </c>
      <c r="I81" s="106">
        <v>8763</v>
      </c>
      <c r="J81" s="106">
        <v>8763</v>
      </c>
      <c r="L81" s="105"/>
      <c r="M81" s="105"/>
      <c r="N81" s="105"/>
    </row>
    <row r="82" spans="1:14">
      <c r="A82" s="80" t="s">
        <v>238</v>
      </c>
      <c r="D82" s="106">
        <v>2749</v>
      </c>
      <c r="E82" s="106">
        <v>3009</v>
      </c>
      <c r="F82" s="106">
        <v>3009</v>
      </c>
      <c r="G82" s="106">
        <v>3076</v>
      </c>
      <c r="H82" s="106">
        <v>3076</v>
      </c>
      <c r="I82" s="106">
        <v>2438</v>
      </c>
      <c r="J82" s="106">
        <v>2438</v>
      </c>
      <c r="L82" s="105"/>
      <c r="M82" s="105"/>
      <c r="N82" s="105"/>
    </row>
    <row r="83" spans="1:14">
      <c r="A83" s="80" t="s">
        <v>239</v>
      </c>
      <c r="D83" s="106">
        <v>299</v>
      </c>
      <c r="E83" s="106">
        <v>568</v>
      </c>
      <c r="F83" s="106">
        <v>450</v>
      </c>
      <c r="G83" s="106">
        <v>309</v>
      </c>
      <c r="H83" s="106">
        <v>218</v>
      </c>
      <c r="I83" s="106">
        <v>191</v>
      </c>
      <c r="J83" s="106">
        <v>139</v>
      </c>
      <c r="L83" s="105"/>
      <c r="M83" s="105"/>
      <c r="N83" s="105"/>
    </row>
    <row r="84" spans="1:14">
      <c r="A84" s="80" t="s">
        <v>211</v>
      </c>
      <c r="D84" s="106">
        <v>43</v>
      </c>
      <c r="E84" s="106">
        <v>50</v>
      </c>
      <c r="F84" s="106">
        <v>60</v>
      </c>
      <c r="G84" s="106">
        <v>49</v>
      </c>
      <c r="H84" s="106">
        <v>62</v>
      </c>
      <c r="I84" s="106">
        <v>65</v>
      </c>
      <c r="J84" s="106">
        <v>-3</v>
      </c>
      <c r="L84" s="105"/>
      <c r="M84" s="105"/>
      <c r="N84" s="105"/>
    </row>
    <row r="85" spans="1:14">
      <c r="A85" s="81" t="s">
        <v>415</v>
      </c>
      <c r="D85" s="106">
        <v>4637</v>
      </c>
      <c r="E85" s="106">
        <v>5081</v>
      </c>
      <c r="F85" s="106">
        <v>4254</v>
      </c>
      <c r="G85" s="106">
        <v>6092</v>
      </c>
      <c r="H85" s="106">
        <v>5201</v>
      </c>
      <c r="I85" s="106">
        <v>5619</v>
      </c>
      <c r="J85" s="106">
        <v>6376</v>
      </c>
      <c r="L85" s="105"/>
      <c r="M85" s="105"/>
      <c r="N85" s="105"/>
    </row>
    <row r="86" spans="1:14">
      <c r="A86" s="80"/>
      <c r="D86" s="113">
        <v>16491</v>
      </c>
      <c r="E86" s="113">
        <v>17471</v>
      </c>
      <c r="F86" s="113">
        <v>16536</v>
      </c>
      <c r="G86" s="113">
        <v>18289</v>
      </c>
      <c r="H86" s="113">
        <v>17320</v>
      </c>
      <c r="I86" s="113">
        <v>17076</v>
      </c>
      <c r="J86" s="113">
        <v>17713</v>
      </c>
      <c r="L86" s="105"/>
      <c r="M86" s="105"/>
      <c r="N86" s="105"/>
    </row>
    <row r="87" spans="1:14">
      <c r="A87" s="80"/>
      <c r="L87" s="105"/>
      <c r="M87" s="105"/>
      <c r="N87" s="105"/>
    </row>
    <row r="88" spans="1:14">
      <c r="A88" s="80" t="s">
        <v>241</v>
      </c>
      <c r="D88" s="105">
        <v>33</v>
      </c>
      <c r="E88" s="72">
        <v>32</v>
      </c>
      <c r="F88" s="72">
        <v>33</v>
      </c>
      <c r="G88" s="72">
        <v>36</v>
      </c>
      <c r="H88" s="72">
        <v>38</v>
      </c>
      <c r="I88" s="72">
        <v>38</v>
      </c>
      <c r="J88" s="72">
        <v>41</v>
      </c>
      <c r="L88" s="105"/>
      <c r="M88" s="105"/>
      <c r="N88" s="105"/>
    </row>
    <row r="89" spans="1:14">
      <c r="A89" s="80"/>
      <c r="L89" s="105"/>
      <c r="M89" s="105"/>
      <c r="N89" s="105"/>
    </row>
    <row r="90" spans="1:14">
      <c r="A90" s="83" t="s">
        <v>242</v>
      </c>
      <c r="D90" s="108">
        <v>16524</v>
      </c>
      <c r="E90" s="108">
        <v>17503</v>
      </c>
      <c r="F90" s="108">
        <v>16569</v>
      </c>
      <c r="G90" s="108">
        <v>18325</v>
      </c>
      <c r="H90" s="108">
        <v>17358</v>
      </c>
      <c r="I90" s="108">
        <v>17114</v>
      </c>
      <c r="J90" s="108">
        <v>17754</v>
      </c>
      <c r="L90" s="105"/>
      <c r="M90" s="105"/>
      <c r="N90" s="105"/>
    </row>
    <row r="91" spans="1:14">
      <c r="A91" s="80"/>
      <c r="F91" s="105"/>
      <c r="L91" s="105"/>
      <c r="M91" s="105"/>
      <c r="N91" s="105"/>
    </row>
    <row r="92" spans="1:14">
      <c r="A92" s="96" t="s">
        <v>243</v>
      </c>
      <c r="F92" s="105"/>
      <c r="L92" s="105"/>
      <c r="M92" s="105"/>
      <c r="N92" s="105"/>
    </row>
    <row r="93" spans="1:14">
      <c r="A93" s="80" t="s">
        <v>689</v>
      </c>
      <c r="D93" s="405">
        <v>10947</v>
      </c>
      <c r="E93" s="405">
        <v>12252</v>
      </c>
      <c r="F93" s="405">
        <v>15959</v>
      </c>
      <c r="G93" s="405">
        <v>15206</v>
      </c>
      <c r="H93" s="405">
        <v>15317</v>
      </c>
      <c r="I93" s="72">
        <v>12407</v>
      </c>
      <c r="J93" s="72">
        <v>12475</v>
      </c>
      <c r="L93" s="105"/>
      <c r="M93" s="105"/>
      <c r="N93" s="105"/>
    </row>
    <row r="94" spans="1:14">
      <c r="A94" s="80" t="s">
        <v>245</v>
      </c>
      <c r="D94" s="92">
        <v>789</v>
      </c>
      <c r="E94" s="92">
        <v>662</v>
      </c>
      <c r="F94" s="92">
        <v>494</v>
      </c>
      <c r="G94" s="92">
        <v>547</v>
      </c>
      <c r="H94" s="92">
        <v>650</v>
      </c>
      <c r="I94" s="72">
        <v>639</v>
      </c>
      <c r="J94" s="72">
        <v>701</v>
      </c>
      <c r="L94" s="105"/>
      <c r="M94" s="105"/>
      <c r="N94" s="105"/>
    </row>
    <row r="95" spans="1:14" ht="26.25">
      <c r="A95" s="252" t="s">
        <v>690</v>
      </c>
      <c r="D95" s="405">
        <v>436</v>
      </c>
      <c r="E95" s="405">
        <v>290</v>
      </c>
      <c r="F95" s="405">
        <v>157</v>
      </c>
      <c r="G95" s="405">
        <v>161</v>
      </c>
      <c r="H95" s="405">
        <v>209</v>
      </c>
      <c r="I95" s="72">
        <v>206</v>
      </c>
      <c r="J95" s="72">
        <v>216</v>
      </c>
      <c r="L95" s="105"/>
      <c r="M95" s="105"/>
      <c r="N95" s="105"/>
    </row>
    <row r="96" spans="1:14">
      <c r="A96" s="80" t="s">
        <v>246</v>
      </c>
      <c r="D96" s="92">
        <v>568</v>
      </c>
      <c r="E96" s="92">
        <v>570</v>
      </c>
      <c r="F96" s="92">
        <v>571</v>
      </c>
      <c r="G96" s="92">
        <v>584</v>
      </c>
      <c r="H96" s="92">
        <v>607</v>
      </c>
      <c r="I96" s="72">
        <v>599</v>
      </c>
      <c r="J96" s="72">
        <v>612</v>
      </c>
      <c r="L96" s="105"/>
      <c r="M96" s="105"/>
      <c r="N96" s="105"/>
    </row>
    <row r="97" spans="1:14">
      <c r="A97" s="80" t="s">
        <v>388</v>
      </c>
      <c r="D97" s="92">
        <v>741</v>
      </c>
      <c r="E97" s="92">
        <v>1564</v>
      </c>
      <c r="F97" s="92">
        <v>1190</v>
      </c>
      <c r="G97" s="92">
        <v>1286</v>
      </c>
      <c r="H97" s="92">
        <v>1072</v>
      </c>
      <c r="I97" s="72">
        <v>1543</v>
      </c>
      <c r="J97" s="72">
        <v>1592</v>
      </c>
      <c r="L97" s="105"/>
      <c r="M97" s="105"/>
      <c r="N97" s="105"/>
    </row>
    <row r="98" spans="1:14">
      <c r="A98" s="80" t="s">
        <v>387</v>
      </c>
      <c r="D98" s="92">
        <v>116</v>
      </c>
      <c r="E98" s="92">
        <v>83</v>
      </c>
      <c r="F98" s="92">
        <v>10</v>
      </c>
      <c r="G98" s="92">
        <v>62</v>
      </c>
      <c r="H98" s="92">
        <v>169</v>
      </c>
      <c r="I98" s="72">
        <v>177</v>
      </c>
      <c r="J98" s="72">
        <v>64</v>
      </c>
      <c r="L98" s="105"/>
      <c r="M98" s="105"/>
      <c r="N98" s="105"/>
    </row>
    <row r="99" spans="1:14">
      <c r="A99" s="80" t="s">
        <v>249</v>
      </c>
      <c r="D99" s="92">
        <v>33</v>
      </c>
      <c r="E99" s="92">
        <v>99</v>
      </c>
      <c r="F99" s="92">
        <v>119</v>
      </c>
      <c r="G99" s="92">
        <v>123</v>
      </c>
      <c r="H99" s="92">
        <v>184</v>
      </c>
      <c r="I99" s="72">
        <f>138+46</f>
        <v>184</v>
      </c>
      <c r="J99" s="72">
        <v>146</v>
      </c>
      <c r="L99" s="105"/>
      <c r="M99" s="105"/>
      <c r="N99" s="105"/>
    </row>
    <row r="100" spans="1:14">
      <c r="A100" s="84" t="s">
        <v>253</v>
      </c>
      <c r="D100" s="85">
        <v>4</v>
      </c>
      <c r="E100" s="85">
        <v>1</v>
      </c>
      <c r="F100" s="85">
        <v>1</v>
      </c>
      <c r="G100" s="85">
        <v>1</v>
      </c>
      <c r="H100" s="85">
        <v>1</v>
      </c>
      <c r="I100" s="85">
        <v>1</v>
      </c>
      <c r="J100" s="85">
        <v>1</v>
      </c>
      <c r="L100" s="105"/>
      <c r="M100" s="105"/>
      <c r="N100" s="105"/>
    </row>
    <row r="101" spans="1:14">
      <c r="A101" s="100"/>
      <c r="D101" s="92">
        <v>13634</v>
      </c>
      <c r="E101" s="92">
        <v>15521</v>
      </c>
      <c r="F101" s="92">
        <v>18501</v>
      </c>
      <c r="G101" s="92">
        <v>17970</v>
      </c>
      <c r="H101" s="92">
        <v>18209</v>
      </c>
      <c r="I101" s="92">
        <v>15756</v>
      </c>
      <c r="J101" s="92">
        <v>15807</v>
      </c>
      <c r="L101" s="105"/>
      <c r="M101" s="105"/>
      <c r="N101" s="105"/>
    </row>
    <row r="102" spans="1:14">
      <c r="A102" s="80" t="s">
        <v>250</v>
      </c>
      <c r="L102" s="105"/>
      <c r="M102" s="105"/>
      <c r="N102" s="105"/>
    </row>
    <row r="103" spans="1:14" ht="15.75">
      <c r="A103" s="80" t="s">
        <v>689</v>
      </c>
      <c r="D103" s="568">
        <v>2143</v>
      </c>
      <c r="E103" s="568">
        <v>2161</v>
      </c>
      <c r="F103" s="568">
        <v>528</v>
      </c>
      <c r="G103" s="568">
        <v>1357</v>
      </c>
      <c r="H103" s="568">
        <v>2098</v>
      </c>
      <c r="I103" s="568">
        <v>1918</v>
      </c>
      <c r="J103" s="568">
        <v>2140</v>
      </c>
      <c r="L103" s="105"/>
      <c r="M103" s="105"/>
      <c r="N103" s="105"/>
    </row>
    <row r="104" spans="1:14" ht="15.75">
      <c r="A104" s="80" t="s">
        <v>248</v>
      </c>
      <c r="D104" s="568">
        <v>1242</v>
      </c>
      <c r="E104" s="568">
        <v>1359</v>
      </c>
      <c r="F104" s="568">
        <v>2257</v>
      </c>
      <c r="G104" s="568">
        <v>1687</v>
      </c>
      <c r="H104" s="568">
        <v>2163</v>
      </c>
      <c r="I104" s="568">
        <v>1446</v>
      </c>
      <c r="J104" s="568">
        <v>1955</v>
      </c>
      <c r="L104" s="105"/>
      <c r="M104" s="105"/>
      <c r="N104" s="105"/>
    </row>
    <row r="105" spans="1:14" ht="15.75">
      <c r="A105" s="579" t="s">
        <v>691</v>
      </c>
      <c r="D105" s="114">
        <v>1061</v>
      </c>
      <c r="E105" s="114">
        <v>0</v>
      </c>
      <c r="F105" s="114">
        <v>0</v>
      </c>
      <c r="G105" s="114">
        <v>0</v>
      </c>
      <c r="H105" s="114">
        <v>0</v>
      </c>
      <c r="I105" s="114">
        <v>0</v>
      </c>
      <c r="J105" s="114">
        <v>0</v>
      </c>
      <c r="L105" s="105"/>
      <c r="M105" s="105"/>
      <c r="N105" s="105"/>
    </row>
    <row r="106" spans="1:14" ht="15.75">
      <c r="A106" s="80" t="s">
        <v>251</v>
      </c>
      <c r="D106" s="114">
        <v>616</v>
      </c>
      <c r="E106" s="114">
        <v>399</v>
      </c>
      <c r="F106" s="114">
        <v>707</v>
      </c>
      <c r="G106" s="114">
        <v>448</v>
      </c>
      <c r="H106" s="114">
        <v>555</v>
      </c>
      <c r="I106" s="114">
        <v>529</v>
      </c>
      <c r="J106" s="114">
        <v>592</v>
      </c>
      <c r="L106" s="105"/>
      <c r="M106" s="105"/>
      <c r="N106" s="105"/>
    </row>
    <row r="107" spans="1:14" ht="15.75">
      <c r="A107" s="80" t="s">
        <v>245</v>
      </c>
      <c r="D107" s="114">
        <v>104</v>
      </c>
      <c r="E107" s="114">
        <v>116</v>
      </c>
      <c r="F107" s="114">
        <v>92</v>
      </c>
      <c r="G107" s="114">
        <v>72</v>
      </c>
      <c r="H107" s="114">
        <v>104</v>
      </c>
      <c r="I107" s="114">
        <v>78</v>
      </c>
      <c r="J107" s="114">
        <v>110</v>
      </c>
      <c r="L107" s="105"/>
      <c r="M107" s="105"/>
      <c r="N107" s="105"/>
    </row>
    <row r="108" spans="1:14" ht="26.25">
      <c r="A108" s="252" t="s">
        <v>692</v>
      </c>
      <c r="D108" s="114">
        <v>1890</v>
      </c>
      <c r="E108" s="114">
        <v>1697</v>
      </c>
      <c r="F108" s="114">
        <v>3692</v>
      </c>
      <c r="G108" s="114">
        <v>1946</v>
      </c>
      <c r="H108" s="114">
        <v>3744</v>
      </c>
      <c r="I108" s="114">
        <v>4432</v>
      </c>
      <c r="J108" s="114">
        <v>3386</v>
      </c>
      <c r="L108" s="105"/>
      <c r="M108" s="105"/>
      <c r="N108" s="105"/>
    </row>
    <row r="109" spans="1:14" ht="15.75">
      <c r="A109" s="80" t="s">
        <v>252</v>
      </c>
      <c r="D109" s="114">
        <v>619</v>
      </c>
      <c r="E109" s="114">
        <v>1219</v>
      </c>
      <c r="F109" s="114">
        <v>387</v>
      </c>
      <c r="G109" s="114">
        <v>299</v>
      </c>
      <c r="H109" s="114">
        <v>843</v>
      </c>
      <c r="I109" s="114">
        <v>300</v>
      </c>
      <c r="J109" s="114">
        <v>236</v>
      </c>
      <c r="L109" s="105"/>
      <c r="M109" s="105"/>
      <c r="N109" s="105"/>
    </row>
    <row r="110" spans="1:14" ht="15.75">
      <c r="A110" s="80" t="s">
        <v>246</v>
      </c>
      <c r="D110" s="114">
        <v>177</v>
      </c>
      <c r="E110" s="114">
        <v>335</v>
      </c>
      <c r="F110" s="114">
        <v>513</v>
      </c>
      <c r="G110" s="114">
        <v>2674</v>
      </c>
      <c r="H110" s="114">
        <v>351</v>
      </c>
      <c r="I110" s="114">
        <v>349</v>
      </c>
      <c r="J110" s="114">
        <v>398</v>
      </c>
      <c r="L110" s="105"/>
      <c r="M110" s="105"/>
      <c r="N110" s="105"/>
    </row>
    <row r="111" spans="1:14" ht="15.75">
      <c r="A111" s="80" t="s">
        <v>389</v>
      </c>
      <c r="D111" s="114">
        <v>4</v>
      </c>
      <c r="E111" s="114">
        <v>75</v>
      </c>
      <c r="F111" s="114">
        <v>17</v>
      </c>
      <c r="G111" s="114">
        <v>68</v>
      </c>
      <c r="H111" s="114">
        <v>19</v>
      </c>
      <c r="I111" s="114">
        <v>11</v>
      </c>
      <c r="J111" s="114">
        <v>23</v>
      </c>
      <c r="L111" s="105"/>
      <c r="M111" s="105"/>
      <c r="N111" s="105"/>
    </row>
    <row r="112" spans="1:14" ht="15.75">
      <c r="A112" s="80" t="s">
        <v>693</v>
      </c>
      <c r="D112" s="114">
        <v>629</v>
      </c>
      <c r="E112" s="114">
        <v>330</v>
      </c>
      <c r="F112" s="114">
        <v>324</v>
      </c>
      <c r="G112" s="114">
        <v>683</v>
      </c>
      <c r="H112" s="114">
        <v>1030</v>
      </c>
      <c r="I112" s="114">
        <v>610</v>
      </c>
      <c r="J112" s="114">
        <v>977</v>
      </c>
      <c r="L112" s="105"/>
      <c r="M112" s="105"/>
      <c r="N112" s="105"/>
    </row>
    <row r="113" spans="1:14" ht="15.75">
      <c r="A113" s="80" t="s">
        <v>387</v>
      </c>
      <c r="D113" s="114">
        <v>379</v>
      </c>
      <c r="E113" s="114">
        <v>648</v>
      </c>
      <c r="F113" s="114">
        <v>331</v>
      </c>
      <c r="G113" s="114">
        <v>586</v>
      </c>
      <c r="H113" s="114">
        <v>644</v>
      </c>
      <c r="I113" s="114">
        <v>862</v>
      </c>
      <c r="J113" s="114">
        <v>375</v>
      </c>
      <c r="L113" s="105"/>
      <c r="M113" s="105"/>
      <c r="N113" s="105"/>
    </row>
    <row r="114" spans="1:14" ht="15.75">
      <c r="A114" s="80" t="s">
        <v>249</v>
      </c>
      <c r="D114" s="114">
        <v>483</v>
      </c>
      <c r="E114" s="114">
        <v>605</v>
      </c>
      <c r="F114" s="114">
        <v>514</v>
      </c>
      <c r="G114" s="114">
        <v>435</v>
      </c>
      <c r="H114" s="114">
        <v>640</v>
      </c>
      <c r="I114" s="114">
        <v>335</v>
      </c>
      <c r="J114" s="114">
        <v>740</v>
      </c>
      <c r="L114" s="105"/>
      <c r="M114" s="105"/>
      <c r="N114" s="105"/>
    </row>
    <row r="115" spans="1:14" ht="15.75">
      <c r="A115" s="118" t="s">
        <v>253</v>
      </c>
      <c r="D115" s="114">
        <v>570</v>
      </c>
      <c r="E115" s="114">
        <v>708</v>
      </c>
      <c r="F115" s="114">
        <v>843</v>
      </c>
      <c r="G115" s="114">
        <v>1149</v>
      </c>
      <c r="H115" s="114">
        <v>1379</v>
      </c>
      <c r="I115" s="114">
        <v>1259</v>
      </c>
      <c r="J115" s="114">
        <v>1221</v>
      </c>
      <c r="L115" s="105"/>
      <c r="M115" s="105"/>
      <c r="N115" s="105"/>
    </row>
    <row r="116" spans="1:14" ht="26.25">
      <c r="A116" s="263" t="s">
        <v>694</v>
      </c>
      <c r="D116" s="115">
        <v>0</v>
      </c>
      <c r="E116" s="115">
        <v>0</v>
      </c>
      <c r="F116" s="115">
        <v>1</v>
      </c>
      <c r="G116" s="115">
        <v>1</v>
      </c>
      <c r="H116" s="115">
        <v>1</v>
      </c>
      <c r="I116" s="115">
        <v>1</v>
      </c>
      <c r="J116" s="115">
        <v>0</v>
      </c>
      <c r="L116" s="105"/>
      <c r="M116" s="105"/>
      <c r="N116" s="105"/>
    </row>
    <row r="117" spans="1:14">
      <c r="A117" s="80"/>
      <c r="D117" s="106">
        <v>9917</v>
      </c>
      <c r="E117" s="106">
        <v>9652</v>
      </c>
      <c r="F117" s="106">
        <v>10206</v>
      </c>
      <c r="G117" s="106">
        <v>11405</v>
      </c>
      <c r="H117" s="106">
        <v>13571</v>
      </c>
      <c r="I117" s="106">
        <v>12130</v>
      </c>
      <c r="J117" s="106">
        <v>12153</v>
      </c>
      <c r="L117" s="105"/>
      <c r="M117" s="105"/>
      <c r="N117" s="105"/>
    </row>
    <row r="118" spans="1:14">
      <c r="A118" s="80"/>
      <c r="L118" s="105"/>
      <c r="M118" s="105"/>
      <c r="N118" s="105"/>
    </row>
    <row r="119" spans="1:14">
      <c r="A119" s="83" t="s">
        <v>254</v>
      </c>
      <c r="D119" s="113">
        <v>23551</v>
      </c>
      <c r="E119" s="113">
        <v>25173</v>
      </c>
      <c r="F119" s="113">
        <v>28707</v>
      </c>
      <c r="G119" s="113">
        <v>29375</v>
      </c>
      <c r="H119" s="113">
        <v>31780</v>
      </c>
      <c r="I119" s="113">
        <v>27886</v>
      </c>
      <c r="J119" s="113">
        <v>27960</v>
      </c>
      <c r="L119" s="105"/>
      <c r="M119" s="105"/>
      <c r="N119" s="105"/>
    </row>
    <row r="120" spans="1:14">
      <c r="A120" s="80"/>
      <c r="D120" s="113"/>
      <c r="E120" s="113"/>
      <c r="F120" s="113"/>
      <c r="G120" s="113"/>
      <c r="H120" s="113"/>
      <c r="I120" s="113"/>
      <c r="J120" s="113"/>
      <c r="L120" s="105"/>
      <c r="M120" s="105"/>
      <c r="N120" s="105"/>
    </row>
    <row r="121" spans="1:14">
      <c r="A121" s="74" t="s">
        <v>255</v>
      </c>
      <c r="D121" s="116">
        <v>40075</v>
      </c>
      <c r="E121" s="116">
        <v>42676</v>
      </c>
      <c r="F121" s="116">
        <v>45276</v>
      </c>
      <c r="G121" s="116">
        <v>47700</v>
      </c>
      <c r="H121" s="116">
        <v>49138</v>
      </c>
      <c r="I121" s="116">
        <v>45000</v>
      </c>
      <c r="J121" s="116">
        <v>45714</v>
      </c>
      <c r="L121" s="105"/>
      <c r="M121" s="105"/>
      <c r="N121" s="105"/>
    </row>
    <row r="123" spans="1:14" ht="15.75">
      <c r="A123" s="575" t="s">
        <v>256</v>
      </c>
      <c r="C123" s="89"/>
      <c r="D123" s="89"/>
      <c r="E123" s="89"/>
      <c r="F123" s="89"/>
      <c r="G123" s="698"/>
      <c r="H123" s="693"/>
      <c r="I123" s="693"/>
      <c r="J123" s="693"/>
    </row>
    <row r="124" spans="1:14">
      <c r="G124" s="636"/>
    </row>
    <row r="125" spans="1:14" s="131" customFormat="1" ht="70.5" customHeight="1">
      <c r="A125" s="573" t="s">
        <v>679</v>
      </c>
      <c r="B125" s="531"/>
      <c r="C125" s="73" t="s">
        <v>639</v>
      </c>
      <c r="D125" s="580" t="s">
        <v>751</v>
      </c>
      <c r="E125" s="73" t="s">
        <v>707</v>
      </c>
      <c r="F125" s="73" t="s">
        <v>750</v>
      </c>
      <c r="G125" s="73" t="s">
        <v>852</v>
      </c>
      <c r="H125" s="73" t="s">
        <v>887</v>
      </c>
      <c r="I125" s="73" t="s">
        <v>901</v>
      </c>
      <c r="J125" s="73" t="s">
        <v>902</v>
      </c>
    </row>
    <row r="126" spans="1:14">
      <c r="A126" s="565" t="s">
        <v>257</v>
      </c>
    </row>
    <row r="127" spans="1:14">
      <c r="A127" s="571" t="s">
        <v>396</v>
      </c>
      <c r="B127" s="532"/>
      <c r="C127" s="92">
        <v>597</v>
      </c>
      <c r="D127" s="92">
        <v>78</v>
      </c>
      <c r="E127" s="92">
        <v>862</v>
      </c>
      <c r="F127" s="92">
        <v>-729</v>
      </c>
      <c r="G127" s="92">
        <f>2526-571</f>
        <v>1955</v>
      </c>
      <c r="H127" s="92">
        <f>-224-680+571</f>
        <v>-333</v>
      </c>
      <c r="I127" s="92">
        <f>-19+405</f>
        <v>386</v>
      </c>
      <c r="J127" s="637">
        <f>1905-405</f>
        <v>1500</v>
      </c>
      <c r="K127" s="637"/>
      <c r="L127" s="92"/>
      <c r="M127" s="92"/>
    </row>
    <row r="128" spans="1:14">
      <c r="A128" s="408" t="s">
        <v>695</v>
      </c>
      <c r="B128" s="532"/>
      <c r="C128" s="92">
        <v>-22</v>
      </c>
      <c r="D128" s="92">
        <v>-10</v>
      </c>
      <c r="E128" s="92">
        <v>-49</v>
      </c>
      <c r="F128" s="92">
        <v>-79</v>
      </c>
      <c r="G128" s="92">
        <v>-63</v>
      </c>
      <c r="H128" s="92">
        <v>550</v>
      </c>
      <c r="I128" s="92">
        <v>-15</v>
      </c>
      <c r="J128" s="637">
        <v>-69</v>
      </c>
      <c r="K128" s="637"/>
      <c r="L128" s="92"/>
      <c r="M128" s="92"/>
    </row>
    <row r="129" spans="1:13">
      <c r="A129" s="408" t="s">
        <v>417</v>
      </c>
      <c r="B129" s="532"/>
      <c r="C129" s="92">
        <v>1056</v>
      </c>
      <c r="D129" s="92">
        <v>1045</v>
      </c>
      <c r="E129" s="92">
        <v>1099</v>
      </c>
      <c r="F129" s="92">
        <v>1117</v>
      </c>
      <c r="G129" s="92">
        <v>1086</v>
      </c>
      <c r="H129" s="92">
        <v>1140</v>
      </c>
      <c r="I129" s="92">
        <v>1203</v>
      </c>
      <c r="J129" s="637">
        <v>1146</v>
      </c>
      <c r="K129" s="637"/>
      <c r="L129" s="92"/>
      <c r="M129" s="92"/>
    </row>
    <row r="130" spans="1:13">
      <c r="A130" s="408" t="s">
        <v>696</v>
      </c>
      <c r="B130" s="532"/>
      <c r="C130" s="92">
        <v>1115</v>
      </c>
      <c r="D130" s="92">
        <v>14</v>
      </c>
      <c r="E130" s="92">
        <v>85</v>
      </c>
      <c r="F130" s="92">
        <v>129</v>
      </c>
      <c r="G130" s="72">
        <v>1</v>
      </c>
      <c r="H130" s="72">
        <f>26-1</f>
        <v>25</v>
      </c>
      <c r="I130" s="72">
        <v>1644</v>
      </c>
      <c r="J130" s="637">
        <v>-95</v>
      </c>
      <c r="K130" s="637"/>
      <c r="L130" s="92"/>
      <c r="M130" s="92"/>
    </row>
    <row r="131" spans="1:13" ht="21.75" customHeight="1">
      <c r="A131" s="408" t="s">
        <v>748</v>
      </c>
      <c r="B131" s="532"/>
      <c r="C131" s="92"/>
      <c r="D131" s="92">
        <v>0</v>
      </c>
      <c r="E131" s="92"/>
      <c r="F131" s="92">
        <v>460</v>
      </c>
      <c r="G131" s="72">
        <v>0</v>
      </c>
      <c r="H131" s="72">
        <v>0</v>
      </c>
      <c r="I131" s="72">
        <v>0</v>
      </c>
      <c r="J131" s="637">
        <v>0</v>
      </c>
      <c r="K131" s="637"/>
      <c r="L131" s="92"/>
      <c r="M131" s="92"/>
    </row>
    <row r="132" spans="1:13">
      <c r="A132" s="408" t="s">
        <v>697</v>
      </c>
      <c r="B132" s="532"/>
      <c r="C132" s="92">
        <v>2</v>
      </c>
      <c r="D132" s="92">
        <v>-3</v>
      </c>
      <c r="E132" s="92">
        <v>20</v>
      </c>
      <c r="F132" s="92">
        <v>-6</v>
      </c>
      <c r="G132" s="92">
        <v>-14</v>
      </c>
      <c r="H132" s="92">
        <v>-137</v>
      </c>
      <c r="I132" s="92">
        <v>-90</v>
      </c>
      <c r="J132" s="637">
        <v>-32</v>
      </c>
      <c r="K132" s="637"/>
      <c r="L132" s="92"/>
      <c r="M132" s="92"/>
    </row>
    <row r="133" spans="1:13">
      <c r="A133" s="408" t="s">
        <v>698</v>
      </c>
      <c r="B133" s="532"/>
      <c r="C133" s="92">
        <v>-79</v>
      </c>
      <c r="D133" s="92">
        <v>69</v>
      </c>
      <c r="E133" s="92">
        <v>67</v>
      </c>
      <c r="F133" s="92">
        <v>35</v>
      </c>
      <c r="G133" s="92">
        <v>-237</v>
      </c>
      <c r="H133" s="92">
        <v>-93</v>
      </c>
      <c r="I133" s="92">
        <v>-31</v>
      </c>
      <c r="J133" s="637">
        <v>-36</v>
      </c>
      <c r="K133" s="637"/>
      <c r="L133" s="92"/>
      <c r="M133" s="92"/>
    </row>
    <row r="134" spans="1:13">
      <c r="A134" s="408" t="s">
        <v>418</v>
      </c>
      <c r="B134" s="532"/>
      <c r="C134" s="92">
        <v>180</v>
      </c>
      <c r="D134" s="92">
        <v>187</v>
      </c>
      <c r="E134" s="92">
        <v>258</v>
      </c>
      <c r="F134" s="92">
        <v>333</v>
      </c>
      <c r="G134" s="92">
        <v>437</v>
      </c>
      <c r="H134" s="92">
        <v>363</v>
      </c>
      <c r="I134" s="92">
        <v>343</v>
      </c>
      <c r="J134" s="637">
        <v>330</v>
      </c>
      <c r="K134" s="637"/>
      <c r="L134" s="92"/>
      <c r="M134" s="92"/>
    </row>
    <row r="135" spans="1:13">
      <c r="A135" s="408" t="s">
        <v>419</v>
      </c>
      <c r="B135" s="532"/>
      <c r="C135" s="92">
        <v>143</v>
      </c>
      <c r="D135" s="92">
        <v>-234</v>
      </c>
      <c r="E135" s="92">
        <v>-26</v>
      </c>
      <c r="F135" s="92">
        <v>225</v>
      </c>
      <c r="G135" s="92">
        <f>386-1</f>
        <v>385</v>
      </c>
      <c r="H135" s="92">
        <f>256+1</f>
        <v>257</v>
      </c>
      <c r="I135" s="92">
        <f>31+64</f>
        <v>95</v>
      </c>
      <c r="J135" s="637">
        <v>-373</v>
      </c>
      <c r="K135" s="637"/>
      <c r="L135" s="92"/>
      <c r="M135" s="92"/>
    </row>
    <row r="136" spans="1:13">
      <c r="A136" s="408" t="s">
        <v>263</v>
      </c>
      <c r="B136" s="532"/>
      <c r="C136" s="92">
        <f>-23-31</f>
        <v>-54</v>
      </c>
      <c r="D136" s="92">
        <v>1263</v>
      </c>
      <c r="E136" s="92">
        <f>-10+6</f>
        <v>-4</v>
      </c>
      <c r="F136" s="92">
        <v>-482</v>
      </c>
      <c r="G136" s="92">
        <f>-1750+571</f>
        <v>-1179</v>
      </c>
      <c r="H136" s="92">
        <f>570+680-571</f>
        <v>679</v>
      </c>
      <c r="I136" s="92">
        <f>2076-405</f>
        <v>1671</v>
      </c>
      <c r="J136" s="637">
        <f>140+405</f>
        <v>545</v>
      </c>
      <c r="K136" s="637"/>
      <c r="L136" s="92"/>
      <c r="M136" s="92"/>
    </row>
    <row r="137" spans="1:13">
      <c r="A137" s="408" t="s">
        <v>264</v>
      </c>
      <c r="B137" s="532"/>
      <c r="C137" s="92">
        <v>-399</v>
      </c>
      <c r="D137" s="92">
        <v>7</v>
      </c>
      <c r="E137" s="92">
        <v>-242</v>
      </c>
      <c r="F137" s="92">
        <v>-298</v>
      </c>
      <c r="G137" s="92">
        <v>-31</v>
      </c>
      <c r="H137" s="92">
        <v>-175</v>
      </c>
      <c r="I137" s="92">
        <v>-42</v>
      </c>
      <c r="J137" s="637">
        <v>-108</v>
      </c>
      <c r="K137" s="637"/>
      <c r="L137" s="92"/>
      <c r="M137" s="92"/>
    </row>
    <row r="138" spans="1:13" s="103" customFormat="1">
      <c r="A138" s="572" t="s">
        <v>391</v>
      </c>
      <c r="B138" s="533"/>
      <c r="C138" s="133">
        <f>SUM(C127:C137)</f>
        <v>2539</v>
      </c>
      <c r="D138" s="133">
        <v>2416</v>
      </c>
      <c r="E138" s="133">
        <f>SUM(E127:E137)</f>
        <v>2070</v>
      </c>
      <c r="F138" s="133">
        <f>SUM(F127:F137)</f>
        <v>705</v>
      </c>
      <c r="G138" s="133">
        <v>2340</v>
      </c>
      <c r="H138" s="133">
        <v>2276</v>
      </c>
      <c r="I138" s="133">
        <v>5164</v>
      </c>
      <c r="J138" s="133">
        <v>2808</v>
      </c>
    </row>
    <row r="139" spans="1:13">
      <c r="A139" s="571" t="s">
        <v>266</v>
      </c>
      <c r="H139" s="637"/>
      <c r="I139" s="10"/>
      <c r="J139" s="637"/>
      <c r="K139" s="637"/>
      <c r="L139" s="92"/>
      <c r="M139" s="92"/>
    </row>
    <row r="140" spans="1:13" ht="25.5">
      <c r="A140" s="268" t="s">
        <v>397</v>
      </c>
      <c r="C140" s="75">
        <v>-1674</v>
      </c>
      <c r="D140" s="75">
        <v>-1581</v>
      </c>
      <c r="E140" s="75">
        <v>-1715</v>
      </c>
      <c r="F140" s="75">
        <v>-2164</v>
      </c>
      <c r="G140" s="75">
        <v>-2100</v>
      </c>
      <c r="H140" s="75">
        <v>-2741</v>
      </c>
      <c r="I140" s="75">
        <v>-2106</v>
      </c>
      <c r="J140" s="637">
        <v>-2635</v>
      </c>
      <c r="K140" s="637"/>
      <c r="L140" s="92"/>
      <c r="M140" s="92"/>
    </row>
    <row r="141" spans="1:13">
      <c r="A141" s="408" t="s">
        <v>398</v>
      </c>
      <c r="C141" s="75">
        <v>-10</v>
      </c>
      <c r="D141" s="75">
        <v>-18</v>
      </c>
      <c r="E141" s="75">
        <v>-22</v>
      </c>
      <c r="F141" s="75">
        <v>-6</v>
      </c>
      <c r="G141" s="75">
        <v>-6</v>
      </c>
      <c r="H141" s="75">
        <v>-10</v>
      </c>
      <c r="I141" s="75">
        <v>-1</v>
      </c>
      <c r="J141" s="637">
        <v>-4</v>
      </c>
      <c r="K141" s="637"/>
      <c r="L141" s="92"/>
      <c r="M141" s="92"/>
    </row>
    <row r="142" spans="1:13">
      <c r="A142" s="408" t="s">
        <v>399</v>
      </c>
      <c r="C142" s="75">
        <v>-1</v>
      </c>
      <c r="D142" s="121">
        <v>0</v>
      </c>
      <c r="E142" s="75">
        <v>-120</v>
      </c>
      <c r="F142" s="121">
        <v>0</v>
      </c>
      <c r="G142" s="92">
        <v>-1</v>
      </c>
      <c r="H142" s="75">
        <v>1</v>
      </c>
      <c r="I142" s="121">
        <v>0</v>
      </c>
      <c r="J142" s="637">
        <v>0</v>
      </c>
      <c r="K142" s="637"/>
      <c r="L142" s="92"/>
      <c r="M142" s="92"/>
    </row>
    <row r="143" spans="1:13">
      <c r="A143" s="408" t="s">
        <v>762</v>
      </c>
      <c r="C143" s="121">
        <v>0</v>
      </c>
      <c r="D143" s="121">
        <v>0</v>
      </c>
      <c r="E143" s="121">
        <v>0</v>
      </c>
      <c r="F143" s="75">
        <v>-216</v>
      </c>
      <c r="G143" s="121">
        <v>0</v>
      </c>
      <c r="H143" s="121">
        <v>0</v>
      </c>
      <c r="I143" s="121">
        <v>0</v>
      </c>
      <c r="J143" s="637">
        <v>0</v>
      </c>
      <c r="K143" s="637"/>
      <c r="L143" s="92"/>
      <c r="M143" s="92"/>
    </row>
    <row r="144" spans="1:13">
      <c r="A144" s="408" t="s">
        <v>753</v>
      </c>
      <c r="C144" s="121">
        <v>0</v>
      </c>
      <c r="D144" s="121">
        <v>0</v>
      </c>
      <c r="E144" s="121">
        <v>0</v>
      </c>
      <c r="F144" s="75">
        <v>-14</v>
      </c>
      <c r="G144" s="121">
        <v>0</v>
      </c>
      <c r="H144" s="121">
        <v>0</v>
      </c>
      <c r="I144" s="121">
        <v>0</v>
      </c>
      <c r="J144" s="637">
        <v>0</v>
      </c>
      <c r="K144" s="637"/>
      <c r="L144" s="92"/>
      <c r="M144" s="92"/>
    </row>
    <row r="145" spans="1:13">
      <c r="A145" s="570" t="s">
        <v>267</v>
      </c>
      <c r="C145" s="78">
        <v>-1685</v>
      </c>
      <c r="D145" s="78">
        <v>-1599</v>
      </c>
      <c r="E145" s="78">
        <v>-1857</v>
      </c>
      <c r="F145" s="78">
        <v>-2400</v>
      </c>
      <c r="G145" s="78">
        <v>-2107</v>
      </c>
      <c r="H145" s="78">
        <v>-2750</v>
      </c>
      <c r="I145" s="78">
        <v>-2107</v>
      </c>
      <c r="J145" s="637">
        <v>-2639</v>
      </c>
      <c r="K145" s="637"/>
      <c r="L145" s="92"/>
      <c r="M145" s="92"/>
    </row>
    <row r="146" spans="1:13" ht="25.5">
      <c r="A146" s="268" t="s">
        <v>412</v>
      </c>
      <c r="C146" s="75">
        <v>23</v>
      </c>
      <c r="D146" s="75">
        <v>53</v>
      </c>
      <c r="E146" s="75">
        <v>14</v>
      </c>
      <c r="F146" s="75">
        <v>14</v>
      </c>
      <c r="G146" s="75">
        <v>11</v>
      </c>
      <c r="H146" s="75">
        <v>52</v>
      </c>
      <c r="I146" s="75">
        <v>14</v>
      </c>
      <c r="J146" s="637">
        <v>11</v>
      </c>
      <c r="K146" s="637"/>
      <c r="L146" s="92"/>
      <c r="M146" s="92"/>
    </row>
    <row r="147" spans="1:13">
      <c r="A147" s="408" t="s">
        <v>402</v>
      </c>
      <c r="C147" s="121">
        <v>0</v>
      </c>
      <c r="D147" s="75">
        <v>47</v>
      </c>
      <c r="E147" s="75"/>
      <c r="F147" s="75">
        <v>72</v>
      </c>
      <c r="G147" s="121">
        <v>0</v>
      </c>
      <c r="H147" s="121">
        <v>0</v>
      </c>
      <c r="I147" s="121">
        <v>0</v>
      </c>
      <c r="J147" s="637">
        <v>0</v>
      </c>
      <c r="K147" s="637"/>
      <c r="L147" s="92"/>
      <c r="M147" s="92"/>
    </row>
    <row r="148" spans="1:13">
      <c r="A148" s="408" t="s">
        <v>403</v>
      </c>
      <c r="C148" s="92">
        <v>66</v>
      </c>
      <c r="D148" s="92">
        <v>-8</v>
      </c>
      <c r="E148" s="92">
        <v>2</v>
      </c>
      <c r="F148" s="92">
        <v>179</v>
      </c>
      <c r="G148" s="92">
        <v>2</v>
      </c>
      <c r="H148" s="92">
        <v>-2</v>
      </c>
      <c r="I148" s="92">
        <v>0</v>
      </c>
      <c r="J148" s="637">
        <v>3</v>
      </c>
      <c r="K148" s="637"/>
      <c r="L148" s="92"/>
      <c r="M148" s="92"/>
    </row>
    <row r="149" spans="1:13">
      <c r="A149" s="570" t="s">
        <v>268</v>
      </c>
      <c r="C149" s="132">
        <v>89</v>
      </c>
      <c r="D149" s="132">
        <v>92</v>
      </c>
      <c r="E149" s="132">
        <v>16</v>
      </c>
      <c r="F149" s="132">
        <v>265</v>
      </c>
      <c r="G149" s="132">
        <v>13</v>
      </c>
      <c r="H149" s="132">
        <v>50</v>
      </c>
      <c r="I149" s="132">
        <v>14</v>
      </c>
      <c r="J149" s="637">
        <v>14</v>
      </c>
      <c r="K149" s="637"/>
      <c r="L149" s="92"/>
      <c r="M149" s="92"/>
    </row>
    <row r="150" spans="1:13" s="103" customFormat="1">
      <c r="A150" s="572" t="s">
        <v>404</v>
      </c>
      <c r="B150" s="533"/>
      <c r="C150" s="101">
        <v>-1596</v>
      </c>
      <c r="D150" s="101">
        <v>-1507</v>
      </c>
      <c r="E150" s="101">
        <v>-1841</v>
      </c>
      <c r="F150" s="101">
        <v>-2135</v>
      </c>
      <c r="G150" s="101">
        <v>-2094</v>
      </c>
      <c r="H150" s="101">
        <v>-2700</v>
      </c>
      <c r="I150" s="101">
        <v>-2093</v>
      </c>
      <c r="J150" s="101">
        <v>-2625</v>
      </c>
    </row>
    <row r="151" spans="1:13">
      <c r="A151" s="571" t="s">
        <v>270</v>
      </c>
      <c r="H151" s="10"/>
      <c r="I151" s="10"/>
      <c r="J151" s="637"/>
      <c r="K151" s="637"/>
      <c r="L151" s="92"/>
      <c r="M151" s="92"/>
    </row>
    <row r="152" spans="1:13">
      <c r="A152" s="408" t="s">
        <v>401</v>
      </c>
      <c r="C152" s="121">
        <v>0</v>
      </c>
      <c r="D152" s="75">
        <v>-170</v>
      </c>
      <c r="E152" s="121">
        <v>0</v>
      </c>
      <c r="F152" s="75">
        <v>-170</v>
      </c>
      <c r="H152" s="75">
        <v>-170</v>
      </c>
      <c r="I152" s="75">
        <v>0</v>
      </c>
      <c r="J152" s="637">
        <v>-982</v>
      </c>
      <c r="K152" s="637"/>
      <c r="L152" s="92"/>
      <c r="M152" s="92"/>
    </row>
    <row r="153" spans="1:13">
      <c r="A153" s="408" t="s">
        <v>405</v>
      </c>
      <c r="C153" s="75">
        <v>-1808</v>
      </c>
      <c r="D153" s="75">
        <v>-1658</v>
      </c>
      <c r="E153" s="75">
        <v>-3109</v>
      </c>
      <c r="F153" s="75">
        <v>-2958</v>
      </c>
      <c r="G153" s="75">
        <v>-4199</v>
      </c>
      <c r="H153" s="75">
        <v>-2559</v>
      </c>
      <c r="I153" s="75">
        <v>-3769</v>
      </c>
      <c r="J153" s="637">
        <v>-5305</v>
      </c>
      <c r="K153" s="637"/>
      <c r="L153" s="92"/>
      <c r="M153" s="92"/>
    </row>
    <row r="154" spans="1:13">
      <c r="A154" s="408" t="s">
        <v>752</v>
      </c>
      <c r="C154" s="75"/>
      <c r="D154" s="121">
        <v>0</v>
      </c>
      <c r="E154" s="75"/>
      <c r="F154" s="75">
        <v>-1061</v>
      </c>
      <c r="G154" s="121">
        <v>0</v>
      </c>
      <c r="H154" s="75">
        <v>0</v>
      </c>
      <c r="I154" s="75">
        <v>0</v>
      </c>
      <c r="J154" s="637">
        <v>0</v>
      </c>
      <c r="K154" s="637"/>
      <c r="L154" s="92"/>
      <c r="M154" s="92"/>
    </row>
    <row r="155" spans="1:13">
      <c r="A155" s="408" t="s">
        <v>406</v>
      </c>
      <c r="C155" s="75">
        <v>-91</v>
      </c>
      <c r="D155" s="75">
        <v>-252</v>
      </c>
      <c r="E155" s="75">
        <v>-114</v>
      </c>
      <c r="F155" s="75">
        <v>-386</v>
      </c>
      <c r="G155" s="75">
        <v>-314</v>
      </c>
      <c r="H155" s="75">
        <v>-383</v>
      </c>
      <c r="I155" s="75">
        <v>-238</v>
      </c>
      <c r="J155" s="637">
        <v>-349</v>
      </c>
      <c r="K155" s="637"/>
      <c r="L155" s="92"/>
      <c r="M155" s="92"/>
    </row>
    <row r="156" spans="1:13">
      <c r="A156" s="408" t="s">
        <v>700</v>
      </c>
      <c r="C156" s="75">
        <v>-83</v>
      </c>
      <c r="D156" s="75">
        <v>-34</v>
      </c>
      <c r="E156" s="75">
        <v>-91</v>
      </c>
      <c r="F156" s="75">
        <v>-35</v>
      </c>
      <c r="G156" s="75">
        <v>-82</v>
      </c>
      <c r="H156" s="75">
        <v>-23</v>
      </c>
      <c r="I156" s="75">
        <v>-96</v>
      </c>
      <c r="J156" s="637">
        <v>-26</v>
      </c>
      <c r="K156" s="637"/>
      <c r="L156" s="92"/>
      <c r="M156" s="92"/>
    </row>
    <row r="157" spans="1:13">
      <c r="A157" s="408" t="s">
        <v>400</v>
      </c>
      <c r="C157" s="75">
        <v>-10</v>
      </c>
      <c r="D157" s="75">
        <v>-14</v>
      </c>
      <c r="E157" s="75">
        <f>-9</f>
        <v>-9</v>
      </c>
      <c r="F157" s="75">
        <v>-27</v>
      </c>
      <c r="G157" s="75">
        <v>-2</v>
      </c>
      <c r="H157" s="75">
        <v>-6</v>
      </c>
      <c r="I157" s="75">
        <v>-7</v>
      </c>
      <c r="J157" s="637">
        <v>-14</v>
      </c>
      <c r="K157" s="637"/>
      <c r="L157" s="92"/>
      <c r="M157" s="92"/>
    </row>
    <row r="158" spans="1:13">
      <c r="A158" s="570" t="s">
        <v>267</v>
      </c>
      <c r="C158" s="78">
        <v>-1992</v>
      </c>
      <c r="D158" s="78">
        <v>-2128</v>
      </c>
      <c r="E158" s="78">
        <v>-4384</v>
      </c>
      <c r="F158" s="75">
        <v>-3576</v>
      </c>
      <c r="G158" s="75">
        <v>-4597</v>
      </c>
      <c r="H158" s="75">
        <v>-3141</v>
      </c>
      <c r="I158" s="75">
        <v>-4110</v>
      </c>
      <c r="J158" s="637">
        <v>-6676</v>
      </c>
      <c r="K158" s="637"/>
      <c r="L158" s="92"/>
      <c r="M158" s="92"/>
    </row>
    <row r="159" spans="1:13">
      <c r="A159" s="408" t="s">
        <v>407</v>
      </c>
      <c r="C159" s="75">
        <v>603</v>
      </c>
      <c r="D159" s="75">
        <v>1400</v>
      </c>
      <c r="E159" s="72">
        <v>4196</v>
      </c>
      <c r="F159" s="75">
        <v>5244</v>
      </c>
      <c r="G159" s="72">
        <v>4394</v>
      </c>
      <c r="H159" s="75">
        <v>3588</v>
      </c>
      <c r="I159" s="10">
        <v>422</v>
      </c>
      <c r="J159" s="637">
        <v>6540</v>
      </c>
      <c r="K159" s="637"/>
      <c r="L159" s="92"/>
      <c r="M159" s="92"/>
    </row>
    <row r="160" spans="1:13">
      <c r="A160" s="408" t="s">
        <v>408</v>
      </c>
      <c r="C160" s="75">
        <v>56</v>
      </c>
      <c r="D160" s="75">
        <v>58</v>
      </c>
      <c r="E160" s="72">
        <v>20</v>
      </c>
      <c r="F160" s="75">
        <v>18</v>
      </c>
      <c r="G160" s="72">
        <v>13</v>
      </c>
      <c r="H160" s="75">
        <v>23</v>
      </c>
      <c r="I160" s="10">
        <v>41</v>
      </c>
      <c r="J160" s="637">
        <v>38</v>
      </c>
      <c r="K160" s="637"/>
      <c r="L160" s="92"/>
      <c r="M160" s="92"/>
    </row>
    <row r="161" spans="1:13">
      <c r="A161" s="408" t="s">
        <v>430</v>
      </c>
      <c r="C161" s="121">
        <v>0</v>
      </c>
      <c r="D161" s="121">
        <v>0</v>
      </c>
      <c r="E161" s="121">
        <v>0</v>
      </c>
      <c r="F161" s="121">
        <v>0</v>
      </c>
      <c r="G161" s="121">
        <v>0</v>
      </c>
      <c r="H161" s="121">
        <v>0</v>
      </c>
      <c r="I161" s="121">
        <v>0</v>
      </c>
      <c r="J161" s="637">
        <v>0</v>
      </c>
      <c r="K161" s="637"/>
      <c r="L161" s="92"/>
      <c r="M161" s="92"/>
    </row>
    <row r="162" spans="1:13">
      <c r="A162" s="408" t="s">
        <v>824</v>
      </c>
      <c r="C162" s="121"/>
      <c r="D162" s="121"/>
      <c r="E162" s="121"/>
      <c r="F162" s="121"/>
      <c r="G162" s="121"/>
      <c r="H162" s="75">
        <v>6</v>
      </c>
      <c r="I162" s="121">
        <v>0</v>
      </c>
      <c r="J162" s="637">
        <v>0</v>
      </c>
      <c r="K162" s="637"/>
      <c r="L162" s="92"/>
      <c r="M162" s="92"/>
    </row>
    <row r="163" spans="1:13">
      <c r="A163" s="570" t="s">
        <v>268</v>
      </c>
      <c r="C163" s="78">
        <v>659</v>
      </c>
      <c r="D163" s="78">
        <v>1458</v>
      </c>
      <c r="E163" s="78">
        <v>4216</v>
      </c>
      <c r="F163" s="75">
        <v>5262</v>
      </c>
      <c r="G163" s="75">
        <v>4407</v>
      </c>
      <c r="H163" s="75">
        <v>3617</v>
      </c>
      <c r="I163" s="75">
        <v>463</v>
      </c>
      <c r="J163" s="637">
        <v>6578</v>
      </c>
      <c r="K163" s="637"/>
      <c r="L163" s="92"/>
      <c r="M163" s="92"/>
    </row>
    <row r="164" spans="1:13">
      <c r="A164" s="570" t="s">
        <v>393</v>
      </c>
      <c r="C164" s="134">
        <v>-1333</v>
      </c>
      <c r="D164" s="134">
        <v>-670</v>
      </c>
      <c r="E164" s="134">
        <v>-168</v>
      </c>
      <c r="F164" s="75">
        <v>1686</v>
      </c>
      <c r="G164" s="75">
        <v>-190</v>
      </c>
      <c r="H164" s="75">
        <v>476</v>
      </c>
      <c r="I164" s="75">
        <v>-3647</v>
      </c>
      <c r="J164" s="75">
        <v>-98</v>
      </c>
      <c r="K164" s="637"/>
      <c r="L164" s="92"/>
      <c r="M164" s="92"/>
    </row>
    <row r="165" spans="1:13" s="103" customFormat="1" ht="28.15" customHeight="1">
      <c r="A165" s="269" t="s">
        <v>394</v>
      </c>
      <c r="B165" s="533"/>
      <c r="C165" s="101">
        <f>C164+C150+C138</f>
        <v>-390</v>
      </c>
      <c r="D165" s="101">
        <v>239</v>
      </c>
      <c r="E165" s="101">
        <f t="shared" ref="E165:F165" si="0">E164+E150+E138</f>
        <v>61</v>
      </c>
      <c r="F165" s="101">
        <f t="shared" si="0"/>
        <v>256</v>
      </c>
      <c r="G165" s="101">
        <v>56</v>
      </c>
      <c r="H165" s="101">
        <v>52</v>
      </c>
      <c r="I165" s="101">
        <v>-576</v>
      </c>
      <c r="J165" s="101">
        <v>85</v>
      </c>
    </row>
    <row r="166" spans="1:13">
      <c r="A166" s="408" t="s">
        <v>409</v>
      </c>
      <c r="C166" s="75">
        <v>-2</v>
      </c>
      <c r="D166" s="75">
        <v>-1</v>
      </c>
      <c r="E166" s="75">
        <v>1</v>
      </c>
      <c r="F166" s="75">
        <v>-25</v>
      </c>
      <c r="G166" s="72">
        <v>25</v>
      </c>
      <c r="H166" s="75">
        <v>0</v>
      </c>
      <c r="I166" s="72">
        <v>-1</v>
      </c>
      <c r="J166" s="637">
        <v>1</v>
      </c>
      <c r="L166" s="92"/>
      <c r="M166" s="92"/>
    </row>
    <row r="167" spans="1:13">
      <c r="A167" s="570" t="s">
        <v>276</v>
      </c>
      <c r="C167" s="92">
        <f>895-121</f>
        <v>774</v>
      </c>
      <c r="D167" s="92">
        <v>384</v>
      </c>
      <c r="E167" s="92">
        <f>623</f>
        <v>623</v>
      </c>
      <c r="F167" s="92">
        <f>846-162</f>
        <v>684</v>
      </c>
      <c r="G167" s="92">
        <f>F168</f>
        <v>940</v>
      </c>
      <c r="H167" s="10">
        <f>G168</f>
        <v>996</v>
      </c>
      <c r="I167" s="72">
        <v>1048</v>
      </c>
      <c r="J167" s="72">
        <v>472</v>
      </c>
    </row>
    <row r="168" spans="1:13">
      <c r="A168" s="76" t="s">
        <v>395</v>
      </c>
      <c r="C168" s="75">
        <f>536-152</f>
        <v>384</v>
      </c>
      <c r="D168" s="75">
        <v>623</v>
      </c>
      <c r="E168" s="75">
        <f>846-162</f>
        <v>684</v>
      </c>
      <c r="F168" s="75">
        <v>940</v>
      </c>
      <c r="G168" s="72">
        <v>996</v>
      </c>
      <c r="H168" s="10">
        <v>1048</v>
      </c>
      <c r="I168" s="72">
        <v>472</v>
      </c>
      <c r="J168" s="72">
        <v>557</v>
      </c>
    </row>
    <row r="169" spans="1:13" s="131" customFormat="1">
      <c r="A169" s="569" t="s">
        <v>410</v>
      </c>
      <c r="B169" s="531"/>
      <c r="C169" s="583">
        <f>231-152</f>
        <v>79</v>
      </c>
      <c r="D169" s="583">
        <v>146</v>
      </c>
      <c r="E169" s="583">
        <f>267-162</f>
        <v>105</v>
      </c>
      <c r="F169" s="583">
        <v>322</v>
      </c>
      <c r="G169" s="583">
        <v>290</v>
      </c>
      <c r="H169" s="131">
        <v>372</v>
      </c>
      <c r="I169" s="131">
        <v>184</v>
      </c>
      <c r="J169" s="131">
        <v>268</v>
      </c>
    </row>
    <row r="170" spans="1:13">
      <c r="H170" s="10"/>
      <c r="I170" s="10"/>
      <c r="J170" s="10"/>
      <c r="K170" s="10"/>
    </row>
    <row r="171" spans="1:13">
      <c r="F171" s="92"/>
      <c r="G171" s="92"/>
      <c r="H171" s="10"/>
      <c r="I171" s="10"/>
      <c r="J171" s="10"/>
      <c r="K171" s="10"/>
    </row>
    <row r="172" spans="1:13">
      <c r="C172" s="92"/>
      <c r="D172" s="92"/>
      <c r="E172" s="92"/>
      <c r="F172" s="92"/>
      <c r="G172" s="92"/>
      <c r="H172" s="92"/>
      <c r="I172" s="92"/>
      <c r="J172" s="92"/>
      <c r="K172" s="10"/>
    </row>
    <row r="173" spans="1:13">
      <c r="C173" s="92"/>
      <c r="D173" s="92"/>
      <c r="G173" s="92"/>
      <c r="H173" s="92"/>
      <c r="I173" s="92"/>
      <c r="J173" s="92"/>
      <c r="K173" s="10"/>
    </row>
    <row r="174" spans="1:13">
      <c r="C174" s="92"/>
      <c r="D174" s="92"/>
      <c r="G174" s="92"/>
      <c r="H174" s="92"/>
      <c r="I174" s="92"/>
      <c r="J174" s="92"/>
    </row>
    <row r="175" spans="1:13">
      <c r="C175" s="92"/>
      <c r="D175" s="92"/>
    </row>
  </sheetData>
  <mergeCells count="4">
    <mergeCell ref="E2:F2"/>
    <mergeCell ref="G2:J2"/>
    <mergeCell ref="F47:J47"/>
    <mergeCell ref="G123:J123"/>
  </mergeCells>
  <pageMargins left="0.70866141732283472" right="0.70866141732283472" top="0.74803149606299213" bottom="0.74803149606299213" header="0.31496062992125984" footer="0.31496062992125984"/>
  <pageSetup paperSize="9" scale="16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499984740745262"/>
    <pageSetUpPr fitToPage="1"/>
  </sheetPr>
  <dimension ref="A1:AW171"/>
  <sheetViews>
    <sheetView workbookViewId="0">
      <selection activeCell="G6" sqref="G6"/>
    </sheetView>
  </sheetViews>
  <sheetFormatPr defaultColWidth="12.42578125" defaultRowHeight="15"/>
  <cols>
    <col min="1" max="1" width="101.42578125" style="72" customWidth="1"/>
    <col min="2" max="2" width="4" style="543" customWidth="1"/>
    <col min="3" max="3" width="19.7109375" style="72" customWidth="1"/>
    <col min="4" max="4" width="15.28515625" style="72" customWidth="1"/>
    <col min="5" max="5" width="20" style="72" customWidth="1"/>
    <col min="6" max="6" width="19.7109375" style="72" customWidth="1"/>
    <col min="7" max="7" width="19.5703125" style="72" customWidth="1"/>
    <col min="8" max="16384" width="12.42578125" style="72"/>
  </cols>
  <sheetData>
    <row r="1" spans="1:11" ht="20.25">
      <c r="A1" s="71" t="s">
        <v>413</v>
      </c>
    </row>
    <row r="2" spans="1:11">
      <c r="A2" s="89" t="s">
        <v>376</v>
      </c>
      <c r="B2" s="544"/>
      <c r="C2" s="699" t="s">
        <v>665</v>
      </c>
      <c r="D2" s="700"/>
      <c r="E2" s="697"/>
      <c r="F2" s="697"/>
      <c r="G2" s="697"/>
      <c r="H2" s="697"/>
    </row>
    <row r="3" spans="1:11" ht="89.25">
      <c r="A3" s="576" t="s">
        <v>679</v>
      </c>
      <c r="B3" s="545"/>
      <c r="C3" s="73" t="s">
        <v>664</v>
      </c>
      <c r="D3" s="73" t="s">
        <v>746</v>
      </c>
      <c r="E3" s="73" t="s">
        <v>745</v>
      </c>
      <c r="F3" s="681" t="s">
        <v>885</v>
      </c>
      <c r="G3" s="73" t="s">
        <v>891</v>
      </c>
    </row>
    <row r="4" spans="1:11">
      <c r="A4" s="118"/>
    </row>
    <row r="5" spans="1:11">
      <c r="A5" s="80" t="s">
        <v>564</v>
      </c>
      <c r="B5" s="538"/>
      <c r="C5" s="75">
        <v>20850</v>
      </c>
      <c r="D5" s="75">
        <v>25164</v>
      </c>
      <c r="E5" s="75">
        <v>36311</v>
      </c>
      <c r="F5" s="75">
        <f>'Hist. dane kwart. - Q figures'!K5+'Hist. dane kwart. - Q figures'!L5+'Hist. dane kwart. - Q figures'!M5+'Hist. dane kwart. - Q figures'!N5</f>
        <v>41977</v>
      </c>
      <c r="G5" s="75">
        <v>32535</v>
      </c>
      <c r="H5" s="10"/>
      <c r="I5" s="637"/>
      <c r="J5" s="637"/>
      <c r="K5" s="10"/>
    </row>
    <row r="6" spans="1:11">
      <c r="A6" s="252" t="s">
        <v>563</v>
      </c>
      <c r="B6" s="538"/>
      <c r="C6" s="75">
        <v>66</v>
      </c>
      <c r="D6" s="75">
        <v>-9</v>
      </c>
      <c r="E6" s="75">
        <v>484</v>
      </c>
      <c r="F6" s="75">
        <f>'Hist. dane kwart. - Q figures'!K6+'Hist. dane kwart. - Q figures'!L6+'Hist. dane kwart. - Q figures'!M6+'Hist. dane kwart. - Q figures'!N6</f>
        <v>8058</v>
      </c>
      <c r="G6" s="75">
        <v>2864</v>
      </c>
      <c r="H6" s="10"/>
      <c r="I6" s="637"/>
      <c r="J6" s="637"/>
      <c r="K6" s="10"/>
    </row>
    <row r="7" spans="1:11">
      <c r="A7" s="87" t="s">
        <v>377</v>
      </c>
      <c r="B7" s="538"/>
      <c r="C7" s="75">
        <v>-21708</v>
      </c>
      <c r="D7" s="75">
        <v>-22928</v>
      </c>
      <c r="E7" s="75">
        <v>-34854</v>
      </c>
      <c r="F7" s="75">
        <f>'Hist. dane kwart. - Q figures'!K7+'Hist. dane kwart. - Q figures'!L7+'Hist. dane kwart. - Q figures'!M7+'Hist. dane kwart. - Q figures'!N7</f>
        <v>-45627</v>
      </c>
      <c r="G7" s="75">
        <v>-31431</v>
      </c>
      <c r="H7" s="10"/>
      <c r="I7" s="637"/>
      <c r="J7" s="637"/>
      <c r="K7" s="10"/>
    </row>
    <row r="8" spans="1:11">
      <c r="A8" s="80" t="s">
        <v>680</v>
      </c>
      <c r="B8" s="538"/>
      <c r="C8" s="75">
        <v>-792</v>
      </c>
      <c r="D8" s="75">
        <v>2227</v>
      </c>
      <c r="E8" s="75">
        <v>1941</v>
      </c>
      <c r="F8" s="75">
        <f>'Hist. dane kwart. - Q figures'!K8+'Hist. dane kwart. - Q figures'!L8+'Hist. dane kwart. - Q figures'!M8+'Hist. dane kwart. - Q figures'!N8</f>
        <v>4408</v>
      </c>
      <c r="G8" s="75">
        <v>3968</v>
      </c>
      <c r="H8" s="10"/>
      <c r="I8" s="637"/>
      <c r="J8" s="637"/>
      <c r="K8" s="10"/>
    </row>
    <row r="9" spans="1:11">
      <c r="A9" s="87" t="s">
        <v>378</v>
      </c>
      <c r="B9" s="538"/>
      <c r="C9" s="75">
        <v>-497</v>
      </c>
      <c r="D9" s="75">
        <v>-485</v>
      </c>
      <c r="E9" s="75">
        <v>-528</v>
      </c>
      <c r="F9" s="75">
        <f>'Hist. dane kwart. - Q figures'!K9+'Hist. dane kwart. - Q figures'!L9+'Hist. dane kwart. - Q figures'!M9+'Hist. dane kwart. - Q figures'!N9</f>
        <v>-766</v>
      </c>
      <c r="G9" s="75">
        <v>-738</v>
      </c>
      <c r="H9" s="10"/>
      <c r="I9" s="637"/>
      <c r="J9" s="637"/>
      <c r="K9" s="10"/>
    </row>
    <row r="10" spans="1:11">
      <c r="A10" s="87" t="s">
        <v>206</v>
      </c>
      <c r="B10" s="538"/>
      <c r="C10" s="75">
        <v>-637</v>
      </c>
      <c r="D10" s="75">
        <v>-490</v>
      </c>
      <c r="E10" s="75">
        <v>-558</v>
      </c>
      <c r="F10" s="75">
        <f>'Hist. dane kwart. - Q figures'!K10+'Hist. dane kwart. - Q figures'!L10+'Hist. dane kwart. - Q figures'!M10+'Hist. dane kwart. - Q figures'!N10</f>
        <v>-701</v>
      </c>
      <c r="G10" s="75">
        <v>-753</v>
      </c>
      <c r="H10" s="10"/>
      <c r="I10" s="637"/>
      <c r="J10" s="637"/>
      <c r="K10" s="10"/>
    </row>
    <row r="11" spans="1:11">
      <c r="A11" s="87" t="s">
        <v>207</v>
      </c>
      <c r="B11" s="538"/>
      <c r="C11" s="75">
        <v>373</v>
      </c>
      <c r="D11" s="72">
        <v>76</v>
      </c>
      <c r="E11" s="75">
        <v>86</v>
      </c>
      <c r="F11" s="75">
        <f>'Hist. dane kwart. - Q figures'!K11+'Hist. dane kwart. - Q figures'!L11+'Hist. dane kwart. - Q figures'!M11+'Hist. dane kwart. - Q figures'!N11</f>
        <v>260</v>
      </c>
      <c r="G11" s="75">
        <v>90</v>
      </c>
      <c r="H11" s="10"/>
      <c r="I11" s="637"/>
      <c r="J11" s="637"/>
      <c r="K11" s="10"/>
    </row>
    <row r="12" spans="1:11">
      <c r="A12" s="87" t="s">
        <v>390</v>
      </c>
      <c r="B12" s="538"/>
      <c r="C12" s="75">
        <v>16</v>
      </c>
      <c r="D12" s="72">
        <v>32</v>
      </c>
      <c r="E12" s="75">
        <v>128</v>
      </c>
      <c r="F12" s="75">
        <f>'Hist. dane kwart. - Q figures'!K12+'Hist. dane kwart. - Q figures'!L12+'Hist. dane kwart. - Q figures'!M12+'Hist. dane kwart. - Q figures'!N12</f>
        <v>-487</v>
      </c>
      <c r="G12" s="75">
        <v>84</v>
      </c>
      <c r="H12" s="10"/>
      <c r="I12" s="637"/>
      <c r="J12" s="637"/>
      <c r="K12" s="10"/>
    </row>
    <row r="13" spans="1:11">
      <c r="A13" s="80" t="s">
        <v>379</v>
      </c>
      <c r="B13" s="538"/>
      <c r="C13" s="75">
        <v>-1537</v>
      </c>
      <c r="D13" s="72">
        <v>1360</v>
      </c>
      <c r="E13" s="75">
        <v>1069</v>
      </c>
      <c r="F13" s="75">
        <f>'Hist. dane kwart. - Q figures'!K13+'Hist. dane kwart. - Q figures'!L13+'Hist. dane kwart. - Q figures'!M13+'Hist. dane kwart. - Q figures'!N13</f>
        <v>2714</v>
      </c>
      <c r="G13" s="75">
        <v>2651</v>
      </c>
      <c r="H13" s="10"/>
      <c r="I13" s="637"/>
      <c r="J13" s="637"/>
      <c r="K13" s="10"/>
    </row>
    <row r="14" spans="1:11">
      <c r="A14" s="87" t="s">
        <v>208</v>
      </c>
      <c r="B14" s="538"/>
      <c r="C14" s="75">
        <v>-286</v>
      </c>
      <c r="D14" s="75">
        <v>-365</v>
      </c>
      <c r="E14" s="75">
        <v>-591</v>
      </c>
      <c r="F14" s="75">
        <f>'Hist. dane kwart. - Q figures'!K14+'Hist. dane kwart. - Q figures'!L14+'Hist. dane kwart. - Q figures'!M14+'Hist. dane kwart. - Q figures'!N14</f>
        <v>-797</v>
      </c>
      <c r="G14" s="75">
        <v>-672</v>
      </c>
      <c r="H14" s="10"/>
      <c r="I14" s="637"/>
      <c r="J14" s="637"/>
      <c r="K14" s="10"/>
    </row>
    <row r="15" spans="1:11">
      <c r="A15" s="87" t="s">
        <v>536</v>
      </c>
      <c r="B15" s="538"/>
      <c r="C15" s="75">
        <v>-356</v>
      </c>
      <c r="D15" s="72">
        <v>130</v>
      </c>
      <c r="E15" s="75">
        <v>-368</v>
      </c>
      <c r="F15" s="75">
        <f>'Hist. dane kwart. - Q figures'!K15+'Hist. dane kwart. - Q figures'!L15+'Hist. dane kwart. - Q figures'!M15+'Hist. dane kwart. - Q figures'!N15</f>
        <v>-295</v>
      </c>
      <c r="G15" s="75">
        <v>-93</v>
      </c>
      <c r="H15" s="10"/>
      <c r="I15" s="637"/>
      <c r="J15" s="637"/>
      <c r="K15" s="10"/>
    </row>
    <row r="16" spans="1:11">
      <c r="A16" s="80" t="s">
        <v>681</v>
      </c>
      <c r="B16" s="538"/>
      <c r="C16" s="75">
        <v>-2179</v>
      </c>
      <c r="D16" s="72">
        <v>1125</v>
      </c>
      <c r="E16" s="75">
        <v>110</v>
      </c>
      <c r="F16" s="75">
        <f>'Hist. dane kwart. - Q figures'!K16+'Hist. dane kwart. - Q figures'!L16+'Hist. dane kwart. - Q figures'!M16+'Hist. dane kwart. - Q figures'!N16</f>
        <v>1622</v>
      </c>
      <c r="G16" s="75">
        <v>1886</v>
      </c>
      <c r="H16" s="10"/>
      <c r="I16" s="637"/>
      <c r="J16" s="637"/>
      <c r="K16" s="10"/>
    </row>
    <row r="17" spans="1:11">
      <c r="A17" s="87" t="s">
        <v>209</v>
      </c>
      <c r="B17" s="538"/>
      <c r="C17" s="75">
        <v>6</v>
      </c>
      <c r="D17" s="75">
        <v>-293</v>
      </c>
      <c r="E17" s="75">
        <v>-319</v>
      </c>
      <c r="F17" s="75">
        <f>'Hist. dane kwart. - Q figures'!K17+'Hist. dane kwart. - Q figures'!L17+'Hist. dane kwart. - Q figures'!M17+'Hist. dane kwart. - Q figures'!N17</f>
        <v>-494</v>
      </c>
      <c r="G17" s="75">
        <v>-1296</v>
      </c>
      <c r="H17" s="10"/>
      <c r="I17" s="637"/>
      <c r="J17" s="637"/>
      <c r="K17" s="10"/>
    </row>
    <row r="18" spans="1:11">
      <c r="A18" s="87"/>
      <c r="B18" s="538"/>
      <c r="C18" s="75"/>
      <c r="D18" s="75"/>
      <c r="E18" s="75"/>
      <c r="F18" s="75"/>
      <c r="H18" s="10"/>
      <c r="I18" s="637"/>
      <c r="J18" s="637"/>
      <c r="K18" s="10"/>
    </row>
    <row r="19" spans="1:11">
      <c r="A19" s="577" t="s">
        <v>742</v>
      </c>
      <c r="B19" s="548"/>
      <c r="C19" s="94"/>
      <c r="D19" s="94">
        <v>832</v>
      </c>
      <c r="E19" s="94">
        <v>-209</v>
      </c>
      <c r="F19" s="94">
        <f>'Hist. dane kwart. - Q figures'!K19+'Hist. dane kwart. - Q figures'!L19+'Hist. dane kwart. - Q figures'!M19+'Hist. dane kwart. - Q figures'!N19</f>
        <v>1128</v>
      </c>
      <c r="G19" s="94">
        <v>590</v>
      </c>
      <c r="H19" s="10"/>
      <c r="I19" s="637"/>
      <c r="J19" s="637"/>
      <c r="K19" s="10"/>
    </row>
    <row r="20" spans="1:11">
      <c r="A20" s="80"/>
      <c r="B20" s="538"/>
      <c r="C20" s="75"/>
      <c r="D20" s="75"/>
      <c r="E20" s="75"/>
      <c r="F20" s="75"/>
      <c r="H20" s="10"/>
      <c r="I20" s="10"/>
      <c r="J20" s="10"/>
      <c r="K20" s="10"/>
    </row>
    <row r="21" spans="1:11">
      <c r="A21" s="577" t="s">
        <v>743</v>
      </c>
      <c r="B21" s="548"/>
      <c r="C21" s="94"/>
      <c r="D21" s="94">
        <v>-447</v>
      </c>
      <c r="E21" s="94">
        <v>75</v>
      </c>
      <c r="F21" s="94">
        <f>'Hist. dane kwart. - Q figures'!K21+'Hist. dane kwart. - Q figures'!L21+'Hist. dane kwart. - Q figures'!M21+'Hist. dane kwart. - Q figures'!N21</f>
        <v>0</v>
      </c>
      <c r="G21" s="94"/>
      <c r="H21" s="10"/>
      <c r="I21" s="10"/>
      <c r="J21" s="10"/>
      <c r="K21" s="10"/>
    </row>
    <row r="22" spans="1:11">
      <c r="A22" s="87"/>
      <c r="B22" s="538"/>
      <c r="C22" s="75"/>
      <c r="D22" s="75"/>
      <c r="E22" s="75"/>
      <c r="F22" s="75"/>
      <c r="H22" s="10"/>
      <c r="I22" s="10"/>
      <c r="J22" s="10"/>
      <c r="K22" s="10"/>
    </row>
    <row r="23" spans="1:11">
      <c r="A23" s="577" t="s">
        <v>682</v>
      </c>
      <c r="B23" s="548"/>
      <c r="C23" s="94">
        <v>-2173</v>
      </c>
      <c r="D23" s="94">
        <v>385</v>
      </c>
      <c r="E23" s="94">
        <v>-134</v>
      </c>
      <c r="F23" s="94">
        <f>'Hist. dane kwart. - Q figures'!K23+'Hist. dane kwart. - Q figures'!L23+'Hist. dane kwart. - Q figures'!M23+'Hist. dane kwart. - Q figures'!N23</f>
        <v>1128</v>
      </c>
      <c r="G23" s="94">
        <v>590</v>
      </c>
      <c r="H23" s="10"/>
      <c r="I23" s="637"/>
      <c r="J23" s="637"/>
      <c r="K23" s="10"/>
    </row>
    <row r="24" spans="1:11">
      <c r="A24" s="96"/>
    </row>
    <row r="25" spans="1:11">
      <c r="A25" s="87" t="s">
        <v>210</v>
      </c>
      <c r="B25" s="538"/>
      <c r="C25" s="75">
        <v>-103</v>
      </c>
      <c r="D25" s="72">
        <v>455</v>
      </c>
      <c r="E25" s="75">
        <v>187</v>
      </c>
      <c r="F25" s="75">
        <f>'Hist. dane kwart. - Q figures'!K25+'Hist. dane kwart. - Q figures'!L25+'Hist. dane kwart. - Q figures'!M25+'Hist. dane kwart. - Q figures'!N25</f>
        <v>-287</v>
      </c>
      <c r="G25" s="75">
        <v>-97</v>
      </c>
      <c r="I25" s="92"/>
      <c r="J25" s="92"/>
    </row>
    <row r="26" spans="1:11">
      <c r="A26" s="87" t="s">
        <v>211</v>
      </c>
      <c r="B26" s="538"/>
      <c r="C26" s="75">
        <v>12</v>
      </c>
      <c r="D26" s="72">
        <v>16</v>
      </c>
      <c r="E26" s="75">
        <v>17</v>
      </c>
      <c r="F26" s="75">
        <f>'Hist. dane kwart. - Q figures'!K26+'Hist. dane kwart. - Q figures'!L26+'Hist. dane kwart. - Q figures'!M26+'Hist. dane kwart. - Q figures'!N26</f>
        <v>2</v>
      </c>
      <c r="G26" s="75">
        <v>-65</v>
      </c>
      <c r="I26" s="92"/>
      <c r="J26" s="92"/>
    </row>
    <row r="27" spans="1:11">
      <c r="A27" s="262" t="s">
        <v>212</v>
      </c>
      <c r="B27" s="538"/>
      <c r="C27" s="75">
        <v>19</v>
      </c>
      <c r="D27" s="75">
        <v>-88</v>
      </c>
      <c r="E27" s="75">
        <v>-36</v>
      </c>
      <c r="F27" s="75">
        <f>'Hist. dane kwart. - Q figures'!K27+'Hist. dane kwart. - Q figures'!L27+'Hist. dane kwart. - Q figures'!M27+'Hist. dane kwart. - Q figures'!N27</f>
        <v>55</v>
      </c>
      <c r="G27" s="75">
        <v>18</v>
      </c>
      <c r="I27" s="92"/>
      <c r="J27" s="92"/>
    </row>
    <row r="28" spans="1:11" ht="26.25">
      <c r="A28" s="578" t="s">
        <v>683</v>
      </c>
      <c r="B28" s="538"/>
      <c r="C28" s="78">
        <v>-72</v>
      </c>
      <c r="D28" s="324">
        <v>383</v>
      </c>
      <c r="E28" s="78">
        <v>168</v>
      </c>
      <c r="F28" s="78">
        <f>'Hist. dane kwart. - Q figures'!K28+'Hist. dane kwart. - Q figures'!L28+'Hist. dane kwart. - Q figures'!M28+'Hist. dane kwart. - Q figures'!N28</f>
        <v>-230</v>
      </c>
      <c r="G28" s="78">
        <v>-144</v>
      </c>
      <c r="I28" s="92"/>
      <c r="J28" s="92"/>
    </row>
    <row r="29" spans="1:11">
      <c r="A29" s="262" t="s">
        <v>684</v>
      </c>
      <c r="B29" s="538"/>
      <c r="C29" s="75">
        <v>-144</v>
      </c>
      <c r="D29" s="72">
        <v>104</v>
      </c>
      <c r="E29" s="75">
        <v>68</v>
      </c>
      <c r="F29" s="75">
        <f>'Hist. dane kwart. - Q figures'!K29+'Hist. dane kwart. - Q figures'!L29+'Hist. dane kwart. - Q figures'!M29+'Hist. dane kwart. - Q figures'!N29</f>
        <v>-133</v>
      </c>
      <c r="G29" s="75">
        <v>-60</v>
      </c>
      <c r="I29" s="92"/>
      <c r="J29" s="92"/>
    </row>
    <row r="30" spans="1:11">
      <c r="A30" s="262" t="s">
        <v>212</v>
      </c>
      <c r="B30" s="538"/>
      <c r="C30" s="75">
        <v>27</v>
      </c>
      <c r="D30" s="75">
        <v>-18</v>
      </c>
      <c r="E30" s="75">
        <v>-12</v>
      </c>
      <c r="F30" s="75">
        <f>'Hist. dane kwart. - Q figures'!K30+'Hist. dane kwart. - Q figures'!L30+'Hist. dane kwart. - Q figures'!M30+'Hist. dane kwart. - Q figures'!N30</f>
        <v>25</v>
      </c>
      <c r="G30" s="75">
        <v>12</v>
      </c>
      <c r="I30" s="92"/>
      <c r="J30" s="92"/>
    </row>
    <row r="31" spans="1:11" ht="26.25">
      <c r="A31" s="639" t="s">
        <v>821</v>
      </c>
      <c r="B31" s="538"/>
      <c r="C31" s="75"/>
      <c r="D31" s="75"/>
      <c r="E31" s="75"/>
      <c r="F31" s="75">
        <f>'Hist. dane kwart. - Q figures'!K31+'Hist. dane kwart. - Q figures'!L31+'Hist. dane kwart. - Q figures'!M31+'Hist. dane kwart. - Q figures'!N31</f>
        <v>-1</v>
      </c>
      <c r="G31" s="75">
        <v>0</v>
      </c>
      <c r="I31" s="92"/>
      <c r="J31" s="92"/>
    </row>
    <row r="32" spans="1:11" ht="26.25">
      <c r="A32" s="578" t="s">
        <v>628</v>
      </c>
      <c r="B32" s="538"/>
      <c r="C32" s="75">
        <v>-117</v>
      </c>
      <c r="D32" s="72">
        <v>86</v>
      </c>
      <c r="E32" s="75">
        <v>56</v>
      </c>
      <c r="F32" s="75">
        <f>'Hist. dane kwart. - Q figures'!K32+'Hist. dane kwart. - Q figures'!L32+'Hist. dane kwart. - Q figures'!M32+'Hist. dane kwart. - Q figures'!N32</f>
        <v>-109</v>
      </c>
      <c r="G32" s="75">
        <v>-48</v>
      </c>
      <c r="I32" s="92"/>
      <c r="J32" s="92"/>
    </row>
    <row r="33" spans="1:10" ht="7.5" customHeight="1">
      <c r="A33" s="578"/>
      <c r="B33" s="538"/>
      <c r="C33" s="75"/>
    </row>
    <row r="34" spans="1:10" ht="26.25">
      <c r="A34" s="578" t="s">
        <v>744</v>
      </c>
      <c r="B34" s="538"/>
      <c r="C34" s="75"/>
      <c r="D34" s="72">
        <v>11</v>
      </c>
      <c r="E34" s="72">
        <v>18</v>
      </c>
    </row>
    <row r="35" spans="1:10">
      <c r="A35" s="578"/>
      <c r="B35" s="538"/>
      <c r="C35" s="75"/>
    </row>
    <row r="36" spans="1:10">
      <c r="A36" s="565" t="s">
        <v>213</v>
      </c>
      <c r="B36" s="538"/>
      <c r="C36" s="78">
        <v>-189</v>
      </c>
      <c r="D36" s="324">
        <v>480</v>
      </c>
      <c r="E36" s="324">
        <v>242</v>
      </c>
      <c r="F36" s="78">
        <f>'Hist. dane kwart. - Q figures'!K36+'Hist. dane kwart. - Q figures'!L36+'Hist. dane kwart. - Q figures'!M36+'Hist. dane kwart. - Q figures'!N36</f>
        <v>-339</v>
      </c>
      <c r="G36" s="78">
        <v>-192</v>
      </c>
      <c r="I36" s="92"/>
      <c r="J36" s="92"/>
    </row>
    <row r="37" spans="1:10">
      <c r="A37" s="565" t="s">
        <v>685</v>
      </c>
      <c r="B37" s="538"/>
      <c r="C37" s="75">
        <v>-2362</v>
      </c>
      <c r="D37" s="72">
        <v>865</v>
      </c>
      <c r="E37" s="72">
        <v>108</v>
      </c>
      <c r="F37" s="640">
        <f>'Hist. dane kwart. - Q figures'!K37+'Hist. dane kwart. - Q figures'!L37+'Hist. dane kwart. - Q figures'!M37+'Hist. dane kwart. - Q figures'!N37</f>
        <v>789</v>
      </c>
      <c r="G37" s="640">
        <v>398</v>
      </c>
      <c r="I37" s="92"/>
      <c r="J37" s="92"/>
    </row>
    <row r="38" spans="1:10">
      <c r="A38" s="80" t="s">
        <v>686</v>
      </c>
      <c r="I38" s="92"/>
      <c r="J38" s="92"/>
    </row>
    <row r="39" spans="1:10">
      <c r="A39" s="87" t="s">
        <v>414</v>
      </c>
      <c r="B39" s="538"/>
      <c r="C39" s="75">
        <v>-2170</v>
      </c>
      <c r="D39" s="72">
        <v>338</v>
      </c>
      <c r="E39" s="75">
        <v>-134</v>
      </c>
      <c r="F39" s="72">
        <f>'Hist. dane kwart. - Q figures'!K39+'Hist. dane kwart. - Q figures'!L39+'Hist. dane kwart. - Q figures'!M39+'Hist. dane kwart. - Q figures'!N39</f>
        <v>1123</v>
      </c>
      <c r="G39" s="72">
        <v>585</v>
      </c>
      <c r="I39" s="92"/>
      <c r="J39" s="92"/>
    </row>
    <row r="40" spans="1:10">
      <c r="A40" s="87" t="s">
        <v>216</v>
      </c>
      <c r="B40" s="538"/>
      <c r="C40" s="75">
        <v>-3</v>
      </c>
      <c r="D40" s="72">
        <v>47</v>
      </c>
      <c r="E40" s="121">
        <v>0</v>
      </c>
      <c r="F40" s="72">
        <f>'Hist. dane kwart. - Q figures'!K40+'Hist. dane kwart. - Q figures'!L40+'Hist. dane kwart. - Q figures'!M40+'Hist. dane kwart. - Q figures'!N40</f>
        <v>5</v>
      </c>
      <c r="G40" s="72">
        <v>5</v>
      </c>
      <c r="I40" s="92"/>
      <c r="J40" s="92"/>
    </row>
    <row r="41" spans="1:10">
      <c r="A41" s="80" t="s">
        <v>217</v>
      </c>
      <c r="I41" s="92"/>
      <c r="J41" s="92"/>
    </row>
    <row r="42" spans="1:10">
      <c r="A42" s="87" t="s">
        <v>414</v>
      </c>
      <c r="B42" s="538"/>
      <c r="C42" s="75">
        <v>-2359</v>
      </c>
      <c r="D42" s="72">
        <v>818</v>
      </c>
      <c r="E42" s="75">
        <v>108</v>
      </c>
      <c r="F42" s="72">
        <f>'Hist. dane kwart. - Q figures'!K42+'Hist. dane kwart. - Q figures'!L42+'Hist. dane kwart. - Q figures'!M42+'Hist. dane kwart. - Q figures'!N42</f>
        <v>784</v>
      </c>
      <c r="G42" s="72">
        <v>393</v>
      </c>
      <c r="I42" s="92"/>
      <c r="J42" s="92"/>
    </row>
    <row r="43" spans="1:10">
      <c r="A43" s="97" t="s">
        <v>216</v>
      </c>
      <c r="B43" s="538"/>
      <c r="C43" s="75">
        <v>-3</v>
      </c>
      <c r="D43" s="72">
        <v>47</v>
      </c>
      <c r="E43" s="121">
        <v>0</v>
      </c>
      <c r="F43" s="72">
        <f>'Hist. dane kwart. - Q figures'!K43+'Hist. dane kwart. - Q figures'!L43+'Hist. dane kwart. - Q figures'!M43+'Hist. dane kwart. - Q figures'!N43</f>
        <v>5</v>
      </c>
      <c r="G43" s="72">
        <v>5</v>
      </c>
      <c r="I43" s="92"/>
      <c r="J43" s="92"/>
    </row>
    <row r="44" spans="1:10">
      <c r="A44" s="80"/>
      <c r="B44" s="549"/>
      <c r="C44" s="119"/>
      <c r="D44" s="119"/>
      <c r="E44" s="119"/>
      <c r="F44" s="119"/>
      <c r="G44" s="119"/>
    </row>
    <row r="45" spans="1:10">
      <c r="A45" s="577" t="s">
        <v>687</v>
      </c>
      <c r="C45" s="120">
        <v>-1.24</v>
      </c>
      <c r="D45" s="120">
        <v>0.19</v>
      </c>
      <c r="E45" s="120">
        <v>-7.6460041844618049E-2</v>
      </c>
      <c r="F45" s="120">
        <f>'Hist. dane kwart. - Q figures'!K45+'Hist. dane kwart. - Q figures'!L45+'Hist. dane kwart. - Q figures'!M45+'Hist. dane kwart. - Q figures'!N45</f>
        <v>0.64</v>
      </c>
      <c r="G45" s="120">
        <v>0.33379943641120563</v>
      </c>
      <c r="I45" s="680"/>
      <c r="J45" s="680"/>
    </row>
    <row r="46" spans="1:10">
      <c r="A46" s="270"/>
    </row>
    <row r="47" spans="1:10" ht="15.75">
      <c r="A47" s="575" t="s">
        <v>383</v>
      </c>
      <c r="B47" s="550"/>
      <c r="C47" s="699" t="s">
        <v>665</v>
      </c>
      <c r="D47" s="700"/>
      <c r="E47" s="697"/>
      <c r="F47" s="697"/>
      <c r="G47" s="697"/>
    </row>
    <row r="48" spans="1:10" ht="63.75">
      <c r="A48" s="576" t="s">
        <v>679</v>
      </c>
      <c r="B48" s="545"/>
      <c r="C48" s="73" t="s">
        <v>627</v>
      </c>
      <c r="D48" s="73" t="s">
        <v>666</v>
      </c>
      <c r="E48" s="73" t="s">
        <v>886</v>
      </c>
      <c r="F48" s="73" t="s">
        <v>842</v>
      </c>
      <c r="G48" s="73" t="s">
        <v>888</v>
      </c>
    </row>
    <row r="49" spans="1:49">
      <c r="A49" s="80" t="s">
        <v>219</v>
      </c>
    </row>
    <row r="50" spans="1:49">
      <c r="A50" s="80" t="s">
        <v>220</v>
      </c>
    </row>
    <row r="51" spans="1:49">
      <c r="A51" s="80" t="s">
        <v>221</v>
      </c>
      <c r="B51" s="546"/>
      <c r="C51" s="92">
        <v>29505</v>
      </c>
      <c r="D51" s="92">
        <v>29174</v>
      </c>
      <c r="E51" s="92">
        <v>29731</v>
      </c>
      <c r="F51" s="92">
        <v>31872</v>
      </c>
      <c r="G51" s="92">
        <v>33247</v>
      </c>
      <c r="I51" s="92"/>
      <c r="J51" s="92"/>
      <c r="K51" s="92"/>
    </row>
    <row r="52" spans="1:49">
      <c r="A52" s="80" t="s">
        <v>534</v>
      </c>
      <c r="B52" s="546"/>
      <c r="C52" s="92">
        <v>1876</v>
      </c>
      <c r="D52" s="92">
        <v>1946</v>
      </c>
      <c r="E52" s="92">
        <v>1996</v>
      </c>
      <c r="F52" s="92">
        <v>2164</v>
      </c>
      <c r="G52" s="92">
        <v>2495</v>
      </c>
      <c r="I52" s="92"/>
      <c r="J52" s="92"/>
      <c r="K52" s="92"/>
    </row>
    <row r="53" spans="1:49">
      <c r="A53" s="80" t="s">
        <v>222</v>
      </c>
      <c r="B53" s="546"/>
      <c r="C53" s="92">
        <v>26</v>
      </c>
      <c r="D53" s="92">
        <v>26</v>
      </c>
      <c r="E53" s="92">
        <v>26</v>
      </c>
      <c r="F53" s="92">
        <v>26</v>
      </c>
      <c r="G53" s="92">
        <v>26</v>
      </c>
      <c r="I53" s="92"/>
      <c r="J53" s="92"/>
      <c r="K53" s="92"/>
    </row>
    <row r="54" spans="1:49" ht="28.5">
      <c r="A54" s="123" t="s">
        <v>610</v>
      </c>
      <c r="B54" s="546"/>
      <c r="C54" s="92">
        <v>501</v>
      </c>
      <c r="D54" s="92">
        <v>444</v>
      </c>
      <c r="E54" s="92">
        <v>55</v>
      </c>
      <c r="F54" s="92">
        <v>24</v>
      </c>
      <c r="G54" s="92">
        <v>38</v>
      </c>
      <c r="I54" s="92"/>
      <c r="J54" s="92"/>
      <c r="K54" s="92"/>
    </row>
    <row r="55" spans="1:49">
      <c r="A55" s="80" t="s">
        <v>223</v>
      </c>
      <c r="B55" s="546"/>
      <c r="C55" s="92">
        <v>552</v>
      </c>
      <c r="D55" s="92">
        <v>540</v>
      </c>
      <c r="E55" s="92">
        <v>726</v>
      </c>
      <c r="F55" s="92">
        <v>848</v>
      </c>
      <c r="G55" s="92">
        <v>768</v>
      </c>
      <c r="I55" s="92"/>
      <c r="J55" s="92"/>
      <c r="K55" s="92"/>
    </row>
    <row r="56" spans="1:49">
      <c r="A56" s="80" t="s">
        <v>224</v>
      </c>
      <c r="B56" s="546"/>
      <c r="C56" s="92">
        <v>587</v>
      </c>
      <c r="D56" s="92">
        <v>597</v>
      </c>
      <c r="E56" s="92">
        <v>682</v>
      </c>
      <c r="F56" s="92">
        <v>169</v>
      </c>
      <c r="G56" s="92">
        <v>190</v>
      </c>
      <c r="I56" s="92"/>
      <c r="J56" s="92"/>
      <c r="K56" s="92"/>
    </row>
    <row r="57" spans="1:49">
      <c r="A57" s="80" t="s">
        <v>225</v>
      </c>
      <c r="B57" s="546"/>
      <c r="C57" s="92">
        <v>97</v>
      </c>
      <c r="D57" s="92">
        <v>99</v>
      </c>
      <c r="E57" s="92">
        <v>206</v>
      </c>
      <c r="F57" s="92">
        <v>357</v>
      </c>
      <c r="G57" s="92">
        <v>479</v>
      </c>
      <c r="I57" s="92"/>
      <c r="J57" s="92"/>
      <c r="K57" s="92"/>
    </row>
    <row r="58" spans="1:49">
      <c r="A58" s="80" t="s">
        <v>387</v>
      </c>
      <c r="B58" s="546"/>
      <c r="C58" s="92">
        <v>36</v>
      </c>
      <c r="D58" s="92">
        <v>532</v>
      </c>
      <c r="E58" s="92">
        <v>390</v>
      </c>
      <c r="F58" s="92">
        <v>149</v>
      </c>
      <c r="G58" s="92">
        <v>90</v>
      </c>
      <c r="I58" s="92"/>
      <c r="J58" s="92"/>
      <c r="K58" s="92"/>
    </row>
    <row r="59" spans="1:49">
      <c r="A59" s="80" t="s">
        <v>226</v>
      </c>
      <c r="B59" s="546"/>
      <c r="C59" s="92">
        <v>209</v>
      </c>
      <c r="D59" s="92">
        <v>215</v>
      </c>
      <c r="E59" s="92">
        <v>301</v>
      </c>
      <c r="F59" s="92">
        <v>278</v>
      </c>
      <c r="G59" s="92">
        <v>259</v>
      </c>
      <c r="I59" s="92"/>
      <c r="J59" s="92"/>
      <c r="K59" s="92"/>
    </row>
    <row r="60" spans="1:49">
      <c r="A60" s="80" t="s">
        <v>227</v>
      </c>
      <c r="B60" s="546"/>
      <c r="C60" s="92">
        <v>63</v>
      </c>
      <c r="D60" s="92">
        <v>159</v>
      </c>
      <c r="E60" s="92">
        <v>268</v>
      </c>
      <c r="F60" s="92">
        <v>707</v>
      </c>
      <c r="G60" s="92">
        <v>333</v>
      </c>
      <c r="I60" s="92"/>
      <c r="J60" s="92"/>
      <c r="K60" s="92"/>
    </row>
    <row r="61" spans="1:49">
      <c r="A61" s="84" t="s">
        <v>384</v>
      </c>
      <c r="B61" s="547"/>
      <c r="C61" s="85">
        <v>133</v>
      </c>
      <c r="D61" s="85">
        <v>123</v>
      </c>
      <c r="E61" s="85">
        <v>672</v>
      </c>
      <c r="F61" s="85">
        <v>759</v>
      </c>
      <c r="G61" s="85">
        <v>144</v>
      </c>
      <c r="I61" s="92"/>
      <c r="J61" s="92"/>
      <c r="K61" s="92"/>
    </row>
    <row r="62" spans="1:49">
      <c r="A62" s="80"/>
      <c r="B62" s="538"/>
      <c r="C62" s="75">
        <v>33585</v>
      </c>
      <c r="D62" s="75">
        <v>33855</v>
      </c>
      <c r="E62" s="75">
        <v>35053</v>
      </c>
      <c r="F62" s="75">
        <v>37353</v>
      </c>
      <c r="G62" s="75">
        <v>38069</v>
      </c>
      <c r="I62" s="92"/>
      <c r="J62" s="92"/>
      <c r="K62" s="92"/>
    </row>
    <row r="63" spans="1:49">
      <c r="A63" s="80" t="s">
        <v>229</v>
      </c>
      <c r="B63" s="546"/>
      <c r="D63" s="92"/>
      <c r="I63" s="92"/>
      <c r="J63" s="92"/>
      <c r="K63" s="92"/>
    </row>
    <row r="64" spans="1:49" ht="28.5">
      <c r="A64" s="123" t="s">
        <v>609</v>
      </c>
      <c r="B64" s="546"/>
      <c r="C64" s="92">
        <v>1039</v>
      </c>
      <c r="D64" s="92">
        <v>157</v>
      </c>
      <c r="E64" s="92">
        <v>597</v>
      </c>
      <c r="F64" s="75">
        <v>702</v>
      </c>
      <c r="G64" s="75">
        <v>360</v>
      </c>
      <c r="H64" s="75"/>
      <c r="I64" s="92"/>
      <c r="J64" s="92"/>
      <c r="K64" s="92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</row>
    <row r="65" spans="1:49">
      <c r="A65" s="80" t="s">
        <v>230</v>
      </c>
      <c r="B65" s="546"/>
      <c r="C65" s="92">
        <v>874</v>
      </c>
      <c r="D65" s="92">
        <v>543</v>
      </c>
      <c r="E65" s="92">
        <v>1118</v>
      </c>
      <c r="F65" s="75">
        <v>1483</v>
      </c>
      <c r="G65" s="75">
        <v>937</v>
      </c>
      <c r="H65" s="75"/>
      <c r="I65" s="92"/>
      <c r="J65" s="92"/>
      <c r="K65" s="92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</row>
    <row r="66" spans="1:49">
      <c r="A66" s="80" t="s">
        <v>231</v>
      </c>
      <c r="B66" s="546"/>
      <c r="C66" s="92">
        <v>2473</v>
      </c>
      <c r="D66" s="92">
        <v>3322</v>
      </c>
      <c r="E66" s="92">
        <f>3819-44</f>
        <v>3775</v>
      </c>
      <c r="F66" s="75">
        <f>5341-660</f>
        <v>4681</v>
      </c>
      <c r="G66" s="75">
        <v>4089</v>
      </c>
      <c r="H66" s="75"/>
      <c r="I66" s="92"/>
      <c r="J66" s="92"/>
      <c r="K66" s="92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</row>
    <row r="67" spans="1:49" ht="15" customHeight="1">
      <c r="A67" s="80" t="s">
        <v>385</v>
      </c>
      <c r="B67" s="538"/>
      <c r="C67" s="75">
        <v>84</v>
      </c>
      <c r="D67" s="92">
        <v>415</v>
      </c>
      <c r="E67" s="92">
        <v>518</v>
      </c>
      <c r="F67" s="75">
        <v>105</v>
      </c>
      <c r="G67" s="75">
        <v>130</v>
      </c>
      <c r="H67" s="75"/>
      <c r="I67" s="92"/>
      <c r="J67" s="92"/>
      <c r="K67" s="92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</row>
    <row r="68" spans="1:49" ht="15" customHeight="1">
      <c r="A68" s="80" t="s">
        <v>232</v>
      </c>
      <c r="B68" s="538"/>
      <c r="C68" s="92">
        <v>295</v>
      </c>
      <c r="D68" s="92">
        <v>292</v>
      </c>
      <c r="E68" s="92">
        <v>803</v>
      </c>
      <c r="F68" s="75">
        <v>794</v>
      </c>
      <c r="G68" s="75">
        <v>459</v>
      </c>
      <c r="H68" s="75"/>
      <c r="I68" s="92"/>
      <c r="J68" s="92"/>
      <c r="K68" s="92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</row>
    <row r="69" spans="1:49" ht="15" customHeight="1">
      <c r="A69" s="80" t="s">
        <v>225</v>
      </c>
      <c r="B69" s="538"/>
      <c r="C69" s="92">
        <v>2</v>
      </c>
      <c r="D69" s="121">
        <v>0</v>
      </c>
      <c r="E69" s="121">
        <v>0</v>
      </c>
      <c r="F69" s="121">
        <v>0</v>
      </c>
      <c r="G69" s="121">
        <v>0</v>
      </c>
      <c r="H69" s="75"/>
      <c r="I69" s="92"/>
      <c r="J69" s="92"/>
      <c r="K69" s="92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</row>
    <row r="70" spans="1:49" ht="15" customHeight="1">
      <c r="A70" s="80" t="s">
        <v>688</v>
      </c>
      <c r="B70" s="538"/>
      <c r="C70" s="92">
        <v>123</v>
      </c>
      <c r="D70" s="92">
        <v>465</v>
      </c>
      <c r="E70" s="92">
        <v>459</v>
      </c>
      <c r="F70" s="92">
        <v>275</v>
      </c>
      <c r="G70" s="92">
        <v>159</v>
      </c>
      <c r="H70" s="75"/>
      <c r="I70" s="92"/>
      <c r="J70" s="92"/>
      <c r="K70" s="92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</row>
    <row r="71" spans="1:49">
      <c r="A71" s="80" t="s">
        <v>226</v>
      </c>
      <c r="B71" s="551"/>
      <c r="C71" s="92">
        <v>143</v>
      </c>
      <c r="D71" s="92">
        <v>89</v>
      </c>
      <c r="E71" s="92">
        <v>478</v>
      </c>
      <c r="F71" s="92">
        <v>2449</v>
      </c>
      <c r="G71" s="92">
        <v>743</v>
      </c>
      <c r="I71" s="92"/>
      <c r="J71" s="92"/>
      <c r="K71" s="92"/>
    </row>
    <row r="72" spans="1:49">
      <c r="A72" s="118" t="s">
        <v>227</v>
      </c>
      <c r="B72" s="538"/>
      <c r="C72" s="92">
        <v>83</v>
      </c>
      <c r="D72" s="92">
        <v>112</v>
      </c>
      <c r="E72" s="92">
        <v>790</v>
      </c>
      <c r="F72" s="92">
        <v>207</v>
      </c>
      <c r="G72" s="92">
        <v>167</v>
      </c>
      <c r="I72" s="92"/>
      <c r="J72" s="92"/>
      <c r="K72" s="92"/>
    </row>
    <row r="73" spans="1:49">
      <c r="A73" s="80" t="s">
        <v>233</v>
      </c>
      <c r="B73" s="538"/>
      <c r="C73" s="75">
        <v>921</v>
      </c>
      <c r="D73" s="92">
        <v>815</v>
      </c>
      <c r="E73" s="92">
        <v>1678</v>
      </c>
      <c r="F73" s="92">
        <v>1084</v>
      </c>
      <c r="G73" s="92">
        <v>596</v>
      </c>
      <c r="I73" s="92"/>
      <c r="J73" s="92"/>
      <c r="K73" s="92"/>
    </row>
    <row r="74" spans="1:49">
      <c r="A74" s="263" t="s">
        <v>607</v>
      </c>
      <c r="B74" s="547"/>
      <c r="C74" s="85">
        <v>74</v>
      </c>
      <c r="D74" s="85">
        <v>10</v>
      </c>
      <c r="E74" s="85">
        <v>7</v>
      </c>
      <c r="F74" s="85">
        <v>5</v>
      </c>
      <c r="G74" s="85">
        <v>5</v>
      </c>
      <c r="I74" s="92"/>
      <c r="J74" s="92"/>
      <c r="K74" s="92"/>
    </row>
    <row r="75" spans="1:49">
      <c r="A75" s="80"/>
      <c r="B75" s="538"/>
      <c r="C75" s="75">
        <v>6111</v>
      </c>
      <c r="D75" s="92">
        <v>6220</v>
      </c>
      <c r="E75" s="92">
        <f>10267-44</f>
        <v>10223</v>
      </c>
      <c r="F75" s="92">
        <f>12445-660</f>
        <v>11785</v>
      </c>
      <c r="G75" s="92">
        <v>7645</v>
      </c>
      <c r="I75" s="92"/>
      <c r="J75" s="92"/>
      <c r="K75" s="92"/>
    </row>
    <row r="76" spans="1:49">
      <c r="A76" s="80"/>
      <c r="D76" s="92"/>
      <c r="E76" s="92"/>
      <c r="F76" s="92"/>
      <c r="G76" s="92"/>
      <c r="I76" s="92"/>
      <c r="J76" s="92"/>
      <c r="K76" s="92"/>
    </row>
    <row r="77" spans="1:49">
      <c r="A77" s="74" t="s">
        <v>234</v>
      </c>
      <c r="B77" s="552"/>
      <c r="C77" s="101">
        <v>39696</v>
      </c>
      <c r="D77" s="101">
        <v>40075</v>
      </c>
      <c r="E77" s="101">
        <f>45320-44</f>
        <v>45276</v>
      </c>
      <c r="F77" s="101">
        <f>49798-660</f>
        <v>49138</v>
      </c>
      <c r="G77" s="101">
        <v>45714</v>
      </c>
      <c r="I77" s="92"/>
      <c r="J77" s="92"/>
      <c r="K77" s="92"/>
    </row>
    <row r="78" spans="1:49">
      <c r="A78" s="80"/>
      <c r="B78" s="553"/>
      <c r="C78" s="102"/>
      <c r="D78" s="133"/>
      <c r="E78" s="133"/>
      <c r="F78" s="133"/>
      <c r="G78" s="133"/>
      <c r="I78" s="92"/>
      <c r="J78" s="92"/>
      <c r="K78" s="92"/>
    </row>
    <row r="79" spans="1:49">
      <c r="A79" s="96" t="s">
        <v>235</v>
      </c>
      <c r="B79" s="538"/>
      <c r="D79" s="92"/>
      <c r="I79" s="92"/>
      <c r="J79" s="92"/>
      <c r="K79" s="92"/>
    </row>
    <row r="80" spans="1:49">
      <c r="A80" s="80" t="s">
        <v>386</v>
      </c>
      <c r="B80" s="538"/>
      <c r="D80" s="92"/>
      <c r="I80" s="92"/>
      <c r="J80" s="92"/>
      <c r="K80" s="92"/>
    </row>
    <row r="81" spans="1:11">
      <c r="A81" s="80" t="s">
        <v>237</v>
      </c>
      <c r="B81" s="538"/>
      <c r="C81" s="75">
        <v>8763</v>
      </c>
      <c r="D81" s="92">
        <v>8763</v>
      </c>
      <c r="E81" s="92">
        <v>8763</v>
      </c>
      <c r="F81" s="92">
        <v>8763</v>
      </c>
      <c r="G81" s="92">
        <v>8763</v>
      </c>
      <c r="I81" s="92"/>
      <c r="J81" s="92"/>
      <c r="K81" s="92"/>
    </row>
    <row r="82" spans="1:11">
      <c r="A82" s="80" t="s">
        <v>238</v>
      </c>
      <c r="B82" s="538"/>
      <c r="C82" s="75">
        <v>6339</v>
      </c>
      <c r="D82" s="92">
        <v>2749</v>
      </c>
      <c r="E82" s="92">
        <v>3009</v>
      </c>
      <c r="F82" s="92">
        <v>3076</v>
      </c>
      <c r="G82" s="92">
        <v>2438</v>
      </c>
      <c r="I82" s="92"/>
      <c r="J82" s="92"/>
      <c r="K82" s="92"/>
    </row>
    <row r="83" spans="1:11">
      <c r="A83" s="80" t="s">
        <v>239</v>
      </c>
      <c r="B83" s="538"/>
      <c r="C83" s="75">
        <v>-68</v>
      </c>
      <c r="D83" s="92">
        <v>299</v>
      </c>
      <c r="E83" s="92">
        <v>450</v>
      </c>
      <c r="F83" s="92">
        <v>218</v>
      </c>
      <c r="G83" s="92">
        <v>139</v>
      </c>
      <c r="I83" s="92"/>
      <c r="J83" s="92"/>
      <c r="K83" s="92"/>
    </row>
    <row r="84" spans="1:11">
      <c r="A84" s="80" t="s">
        <v>211</v>
      </c>
      <c r="B84" s="538"/>
      <c r="C84" s="75">
        <v>27</v>
      </c>
      <c r="D84" s="92">
        <v>43</v>
      </c>
      <c r="E84" s="92">
        <v>60</v>
      </c>
      <c r="F84" s="92">
        <v>62</v>
      </c>
      <c r="G84" s="92">
        <v>-3</v>
      </c>
      <c r="I84" s="92"/>
      <c r="J84" s="92"/>
      <c r="K84" s="92"/>
    </row>
    <row r="85" spans="1:11">
      <c r="A85" s="81" t="s">
        <v>415</v>
      </c>
      <c r="B85" s="547"/>
      <c r="C85" s="85">
        <v>773</v>
      </c>
      <c r="D85" s="85">
        <v>4637</v>
      </c>
      <c r="E85" s="85">
        <f>4299-45</f>
        <v>4254</v>
      </c>
      <c r="F85" s="85">
        <f>5796-595</f>
        <v>5201</v>
      </c>
      <c r="G85" s="85">
        <v>6376</v>
      </c>
      <c r="I85" s="92"/>
      <c r="J85" s="92"/>
      <c r="K85" s="92"/>
    </row>
    <row r="86" spans="1:11">
      <c r="A86" s="80"/>
      <c r="B86" s="538"/>
      <c r="C86" s="75">
        <v>15834</v>
      </c>
      <c r="D86" s="92">
        <v>16491</v>
      </c>
      <c r="E86" s="92">
        <f>16581-45</f>
        <v>16536</v>
      </c>
      <c r="F86" s="92">
        <f>17915-595</f>
        <v>17320</v>
      </c>
      <c r="G86" s="92">
        <v>17713</v>
      </c>
      <c r="I86" s="92"/>
      <c r="J86" s="92"/>
      <c r="K86" s="92"/>
    </row>
    <row r="87" spans="1:11">
      <c r="A87" s="80"/>
      <c r="B87" s="538"/>
      <c r="D87" s="92"/>
      <c r="E87" s="92"/>
      <c r="I87" s="92"/>
      <c r="J87" s="92"/>
      <c r="K87" s="92"/>
    </row>
    <row r="88" spans="1:11">
      <c r="A88" s="80" t="s">
        <v>241</v>
      </c>
      <c r="B88" s="546"/>
      <c r="C88" s="92">
        <v>893</v>
      </c>
      <c r="D88" s="92">
        <v>33</v>
      </c>
      <c r="E88" s="92">
        <v>33</v>
      </c>
      <c r="F88" s="72">
        <v>38</v>
      </c>
      <c r="G88" s="72">
        <v>41</v>
      </c>
      <c r="I88" s="92"/>
      <c r="J88" s="92"/>
      <c r="K88" s="92"/>
    </row>
    <row r="89" spans="1:11">
      <c r="A89" s="80"/>
      <c r="D89" s="92"/>
      <c r="E89" s="92"/>
      <c r="I89" s="92"/>
      <c r="J89" s="92"/>
      <c r="K89" s="92"/>
    </row>
    <row r="90" spans="1:11">
      <c r="A90" s="83" t="s">
        <v>242</v>
      </c>
      <c r="B90" s="553"/>
      <c r="C90" s="102">
        <v>16727</v>
      </c>
      <c r="D90" s="102">
        <v>16524</v>
      </c>
      <c r="E90" s="102">
        <f>16614-45</f>
        <v>16569</v>
      </c>
      <c r="F90" s="102">
        <f>17953-595</f>
        <v>17358</v>
      </c>
      <c r="G90" s="102">
        <v>17754</v>
      </c>
      <c r="I90" s="92"/>
      <c r="J90" s="92"/>
      <c r="K90" s="92"/>
    </row>
    <row r="91" spans="1:11">
      <c r="A91" s="80"/>
      <c r="B91" s="553"/>
      <c r="C91" s="102"/>
      <c r="D91" s="102"/>
      <c r="E91" s="102"/>
      <c r="F91" s="102"/>
      <c r="G91" s="102"/>
      <c r="I91" s="92"/>
      <c r="J91" s="92"/>
      <c r="K91" s="92"/>
    </row>
    <row r="92" spans="1:11">
      <c r="A92" s="96" t="s">
        <v>243</v>
      </c>
      <c r="B92" s="538"/>
      <c r="D92" s="92"/>
      <c r="I92" s="92"/>
      <c r="J92" s="92"/>
      <c r="K92" s="92"/>
    </row>
    <row r="93" spans="1:11">
      <c r="A93" s="80" t="s">
        <v>689</v>
      </c>
      <c r="B93" s="554"/>
      <c r="C93" s="405">
        <v>13171</v>
      </c>
      <c r="D93" s="405">
        <v>10947</v>
      </c>
      <c r="E93" s="405">
        <v>15959</v>
      </c>
      <c r="F93" s="405">
        <v>15317</v>
      </c>
      <c r="G93" s="405">
        <v>12475</v>
      </c>
      <c r="I93" s="92"/>
      <c r="J93" s="92"/>
      <c r="K93" s="92"/>
    </row>
    <row r="94" spans="1:11">
      <c r="A94" s="80" t="s">
        <v>245</v>
      </c>
      <c r="B94" s="554"/>
      <c r="C94" s="92">
        <v>952</v>
      </c>
      <c r="D94" s="92">
        <v>789</v>
      </c>
      <c r="E94" s="92">
        <v>494</v>
      </c>
      <c r="F94" s="92">
        <v>650</v>
      </c>
      <c r="G94" s="92">
        <v>701</v>
      </c>
      <c r="I94" s="92"/>
      <c r="J94" s="92"/>
      <c r="K94" s="92"/>
    </row>
    <row r="95" spans="1:11" ht="26.25">
      <c r="A95" s="252" t="s">
        <v>690</v>
      </c>
      <c r="B95" s="554"/>
      <c r="C95" s="405">
        <v>669</v>
      </c>
      <c r="D95" s="405">
        <v>436</v>
      </c>
      <c r="E95" s="405">
        <v>157</v>
      </c>
      <c r="F95" s="405">
        <v>209</v>
      </c>
      <c r="G95" s="405">
        <v>216</v>
      </c>
      <c r="I95" s="92"/>
      <c r="J95" s="92"/>
      <c r="K95" s="92"/>
    </row>
    <row r="96" spans="1:11">
      <c r="A96" s="80" t="s">
        <v>246</v>
      </c>
      <c r="B96" s="554"/>
      <c r="C96" s="92">
        <v>495</v>
      </c>
      <c r="D96" s="92">
        <v>568</v>
      </c>
      <c r="E96" s="92">
        <v>571</v>
      </c>
      <c r="F96" s="92">
        <v>607</v>
      </c>
      <c r="G96" s="92">
        <v>612</v>
      </c>
      <c r="I96" s="92"/>
      <c r="J96" s="92"/>
      <c r="K96" s="92"/>
    </row>
    <row r="97" spans="1:11">
      <c r="A97" s="80" t="s">
        <v>388</v>
      </c>
      <c r="B97" s="554"/>
      <c r="C97" s="75">
        <v>434</v>
      </c>
      <c r="D97" s="92">
        <v>741</v>
      </c>
      <c r="E97" s="92">
        <f>1200-10</f>
        <v>1190</v>
      </c>
      <c r="F97" s="92">
        <f>1212-140</f>
        <v>1072</v>
      </c>
      <c r="G97" s="92">
        <v>1592</v>
      </c>
      <c r="I97" s="92"/>
      <c r="J97" s="92"/>
      <c r="K97" s="92"/>
    </row>
    <row r="98" spans="1:11">
      <c r="A98" s="80" t="s">
        <v>387</v>
      </c>
      <c r="B98" s="546"/>
      <c r="C98" s="92">
        <v>74</v>
      </c>
      <c r="D98" s="92">
        <v>116</v>
      </c>
      <c r="E98" s="92">
        <v>10</v>
      </c>
      <c r="F98" s="92">
        <v>169</v>
      </c>
      <c r="G98" s="92">
        <v>64</v>
      </c>
      <c r="I98" s="92"/>
      <c r="J98" s="92"/>
      <c r="K98" s="92"/>
    </row>
    <row r="99" spans="1:11">
      <c r="A99" s="80" t="s">
        <v>249</v>
      </c>
      <c r="B99" s="546"/>
      <c r="C99" s="92">
        <v>64</v>
      </c>
      <c r="D99" s="92">
        <v>33</v>
      </c>
      <c r="E99" s="92">
        <v>119</v>
      </c>
      <c r="F99" s="92">
        <f>152+32</f>
        <v>184</v>
      </c>
      <c r="G99" s="92">
        <f>106+40</f>
        <v>146</v>
      </c>
      <c r="I99" s="92"/>
      <c r="J99" s="92"/>
      <c r="K99" s="92"/>
    </row>
    <row r="100" spans="1:11">
      <c r="A100" s="84" t="s">
        <v>253</v>
      </c>
      <c r="B100" s="547"/>
      <c r="C100" s="85">
        <v>8</v>
      </c>
      <c r="D100" s="85">
        <v>4</v>
      </c>
      <c r="E100" s="85">
        <v>1</v>
      </c>
      <c r="F100" s="85">
        <v>1</v>
      </c>
      <c r="G100" s="85">
        <v>1</v>
      </c>
      <c r="I100" s="92"/>
      <c r="J100" s="92"/>
      <c r="K100" s="92"/>
    </row>
    <row r="101" spans="1:11">
      <c r="A101" s="80"/>
      <c r="B101" s="546"/>
      <c r="C101" s="92">
        <v>15867</v>
      </c>
      <c r="D101" s="92">
        <v>13634</v>
      </c>
      <c r="E101" s="92">
        <f>18511-10</f>
        <v>18501</v>
      </c>
      <c r="F101" s="92">
        <f>18349-140</f>
        <v>18209</v>
      </c>
      <c r="G101" s="92">
        <v>15807</v>
      </c>
      <c r="I101" s="92"/>
      <c r="J101" s="92"/>
      <c r="K101" s="92"/>
    </row>
    <row r="102" spans="1:11">
      <c r="A102" s="80" t="s">
        <v>250</v>
      </c>
      <c r="B102" s="538"/>
      <c r="D102" s="92"/>
      <c r="I102" s="92"/>
      <c r="J102" s="92"/>
      <c r="K102" s="92"/>
    </row>
    <row r="103" spans="1:11">
      <c r="A103" s="80" t="s">
        <v>689</v>
      </c>
      <c r="B103" s="554"/>
      <c r="C103" s="405">
        <v>1481</v>
      </c>
      <c r="D103" s="92">
        <v>2143</v>
      </c>
      <c r="E103" s="92">
        <v>528</v>
      </c>
      <c r="F103" s="640">
        <v>2098</v>
      </c>
      <c r="G103" s="640">
        <v>2140</v>
      </c>
      <c r="I103" s="92"/>
      <c r="J103" s="92"/>
      <c r="K103" s="92"/>
    </row>
    <row r="104" spans="1:11">
      <c r="A104" s="80" t="s">
        <v>248</v>
      </c>
      <c r="B104" s="538"/>
      <c r="C104" s="75">
        <v>1021</v>
      </c>
      <c r="D104" s="92">
        <v>1242</v>
      </c>
      <c r="E104" s="92">
        <f>2246+11</f>
        <v>2257</v>
      </c>
      <c r="F104" s="640">
        <f>2088+75</f>
        <v>2163</v>
      </c>
      <c r="G104" s="640">
        <v>1955</v>
      </c>
      <c r="I104" s="92"/>
      <c r="J104" s="92"/>
      <c r="K104" s="92"/>
    </row>
    <row r="105" spans="1:11">
      <c r="A105" s="579" t="s">
        <v>691</v>
      </c>
      <c r="B105" s="538"/>
      <c r="C105" s="75">
        <v>0</v>
      </c>
      <c r="D105" s="92">
        <v>1061</v>
      </c>
      <c r="E105" s="92">
        <v>0</v>
      </c>
      <c r="F105" s="640">
        <v>0</v>
      </c>
      <c r="G105" s="640">
        <v>0</v>
      </c>
      <c r="I105" s="92"/>
      <c r="J105" s="92"/>
      <c r="K105" s="92"/>
    </row>
    <row r="106" spans="1:11">
      <c r="A106" s="80" t="s">
        <v>251</v>
      </c>
      <c r="B106" s="538"/>
      <c r="C106" s="75">
        <v>857</v>
      </c>
      <c r="D106" s="92">
        <v>616</v>
      </c>
      <c r="E106" s="92">
        <v>707</v>
      </c>
      <c r="F106" s="640">
        <v>555</v>
      </c>
      <c r="G106" s="640">
        <v>592</v>
      </c>
      <c r="I106" s="92"/>
      <c r="J106" s="92"/>
      <c r="K106" s="92"/>
    </row>
    <row r="107" spans="1:11">
      <c r="A107" s="80" t="s">
        <v>245</v>
      </c>
      <c r="B107" s="538"/>
      <c r="C107" s="75">
        <v>104</v>
      </c>
      <c r="D107" s="92">
        <v>104</v>
      </c>
      <c r="E107" s="92">
        <v>92</v>
      </c>
      <c r="F107" s="640">
        <v>104</v>
      </c>
      <c r="G107" s="640">
        <v>110</v>
      </c>
      <c r="I107" s="92"/>
      <c r="J107" s="92"/>
      <c r="K107" s="92"/>
    </row>
    <row r="108" spans="1:11" ht="26.25">
      <c r="A108" s="252" t="s">
        <v>692</v>
      </c>
      <c r="B108" s="538"/>
      <c r="C108" s="75">
        <v>1750</v>
      </c>
      <c r="D108" s="92">
        <v>1890</v>
      </c>
      <c r="E108" s="92">
        <v>3692</v>
      </c>
      <c r="F108" s="640">
        <v>3744</v>
      </c>
      <c r="G108" s="640">
        <v>3386</v>
      </c>
      <c r="I108" s="92"/>
      <c r="J108" s="92"/>
      <c r="K108" s="92"/>
    </row>
    <row r="109" spans="1:11">
      <c r="A109" s="80" t="s">
        <v>252</v>
      </c>
      <c r="B109" s="538"/>
      <c r="C109" s="75">
        <v>304</v>
      </c>
      <c r="D109" s="75">
        <v>619</v>
      </c>
      <c r="E109" s="75">
        <v>387</v>
      </c>
      <c r="F109" s="91">
        <v>843</v>
      </c>
      <c r="G109" s="91">
        <v>236</v>
      </c>
      <c r="I109" s="92"/>
      <c r="J109" s="92"/>
      <c r="K109" s="92"/>
    </row>
    <row r="110" spans="1:11">
      <c r="A110" s="80" t="s">
        <v>246</v>
      </c>
      <c r="B110" s="538"/>
      <c r="C110" s="75">
        <v>181</v>
      </c>
      <c r="D110" s="92">
        <v>177</v>
      </c>
      <c r="E110" s="92">
        <v>513</v>
      </c>
      <c r="F110" s="640">
        <v>351</v>
      </c>
      <c r="G110" s="640">
        <v>398</v>
      </c>
      <c r="I110" s="92"/>
      <c r="J110" s="92"/>
      <c r="K110" s="92"/>
    </row>
    <row r="111" spans="1:11">
      <c r="A111" s="80" t="s">
        <v>389</v>
      </c>
      <c r="B111" s="538"/>
      <c r="C111" s="75">
        <v>3</v>
      </c>
      <c r="D111" s="92">
        <v>4</v>
      </c>
      <c r="E111" s="92">
        <v>17</v>
      </c>
      <c r="F111" s="640">
        <v>19</v>
      </c>
      <c r="G111" s="640">
        <v>23</v>
      </c>
      <c r="I111" s="92"/>
      <c r="J111" s="92"/>
      <c r="K111" s="92"/>
    </row>
    <row r="112" spans="1:11">
      <c r="A112" s="80" t="s">
        <v>693</v>
      </c>
      <c r="B112" s="538"/>
      <c r="C112" s="75">
        <v>410</v>
      </c>
      <c r="D112" s="92">
        <v>629</v>
      </c>
      <c r="E112" s="92">
        <v>324</v>
      </c>
      <c r="F112" s="640">
        <v>1030</v>
      </c>
      <c r="G112" s="640">
        <v>977</v>
      </c>
      <c r="I112" s="92"/>
      <c r="J112" s="92"/>
      <c r="K112" s="92"/>
    </row>
    <row r="113" spans="1:11">
      <c r="A113" s="80" t="s">
        <v>387</v>
      </c>
      <c r="B113" s="538"/>
      <c r="C113" s="75">
        <v>102</v>
      </c>
      <c r="D113" s="92">
        <v>379</v>
      </c>
      <c r="E113" s="92">
        <v>331</v>
      </c>
      <c r="F113" s="640">
        <v>644</v>
      </c>
      <c r="G113" s="640">
        <v>375</v>
      </c>
      <c r="I113" s="92"/>
      <c r="J113" s="92"/>
      <c r="K113" s="92"/>
    </row>
    <row r="114" spans="1:11">
      <c r="A114" s="80" t="s">
        <v>249</v>
      </c>
      <c r="B114" s="538"/>
      <c r="C114" s="92">
        <v>458</v>
      </c>
      <c r="D114" s="92">
        <v>483</v>
      </c>
      <c r="E114" s="92">
        <v>514</v>
      </c>
      <c r="F114" s="640">
        <v>640</v>
      </c>
      <c r="G114" s="640">
        <v>740</v>
      </c>
      <c r="I114" s="92"/>
      <c r="J114" s="92"/>
      <c r="K114" s="92"/>
    </row>
    <row r="115" spans="1:11">
      <c r="A115" s="118" t="s">
        <v>253</v>
      </c>
      <c r="B115" s="555"/>
      <c r="C115" s="92">
        <v>423</v>
      </c>
      <c r="D115" s="92">
        <v>570</v>
      </c>
      <c r="E115" s="92">
        <v>843</v>
      </c>
      <c r="F115" s="640">
        <v>1379</v>
      </c>
      <c r="G115" s="640">
        <v>1221</v>
      </c>
      <c r="I115" s="92"/>
      <c r="J115" s="92"/>
      <c r="K115" s="92"/>
    </row>
    <row r="116" spans="1:11" ht="26.25">
      <c r="A116" s="263" t="s">
        <v>694</v>
      </c>
      <c r="B116" s="556"/>
      <c r="C116" s="403">
        <v>8</v>
      </c>
      <c r="D116" s="403">
        <v>0</v>
      </c>
      <c r="E116" s="403">
        <v>1</v>
      </c>
      <c r="F116" s="93">
        <v>1</v>
      </c>
      <c r="G116" s="93">
        <v>0</v>
      </c>
      <c r="I116" s="92"/>
      <c r="J116" s="92"/>
      <c r="K116" s="92"/>
    </row>
    <row r="117" spans="1:11">
      <c r="A117" s="80"/>
      <c r="B117" s="538"/>
      <c r="C117" s="75">
        <v>7102</v>
      </c>
      <c r="D117" s="75">
        <v>9917</v>
      </c>
      <c r="E117" s="75">
        <f>10195+11</f>
        <v>10206</v>
      </c>
      <c r="F117" s="75">
        <f>13496+75</f>
        <v>13571</v>
      </c>
      <c r="G117" s="75">
        <v>12153</v>
      </c>
      <c r="I117" s="92"/>
      <c r="J117" s="92"/>
      <c r="K117" s="92"/>
    </row>
    <row r="118" spans="1:11">
      <c r="A118" s="80"/>
      <c r="B118" s="538"/>
      <c r="I118" s="92"/>
      <c r="J118" s="92"/>
      <c r="K118" s="92"/>
    </row>
    <row r="119" spans="1:11">
      <c r="A119" s="83" t="s">
        <v>254</v>
      </c>
      <c r="B119" s="553"/>
      <c r="C119" s="102">
        <v>22969</v>
      </c>
      <c r="D119" s="102">
        <v>23551</v>
      </c>
      <c r="E119" s="102">
        <f>28706+1</f>
        <v>28707</v>
      </c>
      <c r="F119" s="102">
        <f>31845-65</f>
        <v>31780</v>
      </c>
      <c r="G119" s="102">
        <v>27960</v>
      </c>
      <c r="I119" s="92"/>
      <c r="J119" s="92"/>
      <c r="K119" s="92"/>
    </row>
    <row r="120" spans="1:11">
      <c r="A120" s="80"/>
      <c r="B120" s="546"/>
      <c r="C120" s="92"/>
      <c r="D120" s="92"/>
      <c r="E120" s="92"/>
      <c r="F120" s="92"/>
      <c r="G120" s="92"/>
      <c r="I120" s="92"/>
      <c r="J120" s="92"/>
      <c r="K120" s="92"/>
    </row>
    <row r="121" spans="1:11">
      <c r="A121" s="74" t="s">
        <v>255</v>
      </c>
      <c r="B121" s="552"/>
      <c r="C121" s="101">
        <v>39696</v>
      </c>
      <c r="D121" s="101">
        <v>40075</v>
      </c>
      <c r="E121" s="101">
        <f>45320-44</f>
        <v>45276</v>
      </c>
      <c r="F121" s="101">
        <f>49798-660</f>
        <v>49138</v>
      </c>
      <c r="G121" s="101">
        <v>45714</v>
      </c>
      <c r="I121" s="92"/>
      <c r="J121" s="92"/>
      <c r="K121" s="92"/>
    </row>
    <row r="122" spans="1:11">
      <c r="B122" s="538"/>
    </row>
    <row r="124" spans="1:11" ht="15.75">
      <c r="A124" s="575" t="s">
        <v>256</v>
      </c>
      <c r="B124" s="544"/>
      <c r="C124" s="699" t="s">
        <v>665</v>
      </c>
      <c r="D124" s="700"/>
      <c r="E124" s="697"/>
      <c r="F124" s="697"/>
      <c r="G124" s="697"/>
    </row>
    <row r="125" spans="1:11" ht="114.75">
      <c r="A125" s="576" t="s">
        <v>679</v>
      </c>
      <c r="B125" s="545"/>
      <c r="C125" s="73" t="s">
        <v>664</v>
      </c>
      <c r="D125" s="73" t="s">
        <v>747</v>
      </c>
      <c r="E125" s="73" t="s">
        <v>745</v>
      </c>
      <c r="F125" s="681" t="s">
        <v>885</v>
      </c>
      <c r="G125" s="73" t="s">
        <v>891</v>
      </c>
    </row>
    <row r="126" spans="1:11" s="131" customFormat="1">
      <c r="A126" s="74" t="s">
        <v>257</v>
      </c>
      <c r="B126" s="557"/>
    </row>
    <row r="127" spans="1:11">
      <c r="A127" s="571" t="s">
        <v>416</v>
      </c>
      <c r="B127" s="538"/>
      <c r="C127" s="75">
        <v>-2179</v>
      </c>
      <c r="D127" s="72">
        <v>675</v>
      </c>
      <c r="E127" s="72">
        <v>133</v>
      </c>
      <c r="F127" s="72">
        <f>2302-680</f>
        <v>1622</v>
      </c>
      <c r="G127" s="72">
        <v>1886</v>
      </c>
    </row>
    <row r="128" spans="1:11">
      <c r="A128" s="408" t="s">
        <v>695</v>
      </c>
      <c r="B128" s="538"/>
      <c r="C128" s="75">
        <v>-16</v>
      </c>
      <c r="D128" s="75">
        <v>-32</v>
      </c>
      <c r="E128" s="75">
        <v>-128</v>
      </c>
      <c r="F128" s="72">
        <v>487</v>
      </c>
      <c r="G128" s="75">
        <v>-84</v>
      </c>
    </row>
    <row r="129" spans="1:10">
      <c r="A129" s="408" t="s">
        <v>417</v>
      </c>
      <c r="B129" s="538"/>
      <c r="C129" s="75">
        <v>2017</v>
      </c>
      <c r="D129" s="75">
        <v>2101</v>
      </c>
      <c r="E129" s="75">
        <v>2216</v>
      </c>
      <c r="F129" s="72">
        <v>2226</v>
      </c>
      <c r="G129" s="75">
        <v>2349</v>
      </c>
    </row>
    <row r="130" spans="1:10" ht="25.5">
      <c r="A130" s="408" t="s">
        <v>696</v>
      </c>
      <c r="B130" s="538"/>
      <c r="C130" s="75">
        <v>3746</v>
      </c>
      <c r="D130" s="75">
        <v>1129</v>
      </c>
      <c r="E130" s="75">
        <v>214</v>
      </c>
      <c r="F130" s="72">
        <v>26</v>
      </c>
      <c r="G130" s="75">
        <v>1549</v>
      </c>
    </row>
    <row r="131" spans="1:10" ht="25.5">
      <c r="A131" s="408" t="s">
        <v>748</v>
      </c>
      <c r="B131" s="538"/>
      <c r="C131" s="75">
        <v>0</v>
      </c>
      <c r="D131" s="75">
        <v>0</v>
      </c>
      <c r="E131" s="75">
        <v>460</v>
      </c>
      <c r="F131" s="72">
        <v>0</v>
      </c>
      <c r="G131" s="75"/>
    </row>
    <row r="132" spans="1:10">
      <c r="A132" s="408" t="s">
        <v>759</v>
      </c>
      <c r="B132" s="538"/>
      <c r="C132" s="75">
        <v>221</v>
      </c>
      <c r="D132" s="75">
        <v>-1</v>
      </c>
      <c r="E132" s="75">
        <v>14</v>
      </c>
      <c r="F132" s="75">
        <v>-151</v>
      </c>
      <c r="G132" s="75">
        <v>-122</v>
      </c>
      <c r="I132" s="92"/>
      <c r="J132" s="92"/>
    </row>
    <row r="133" spans="1:10">
      <c r="A133" s="408" t="s">
        <v>760</v>
      </c>
      <c r="B133" s="538"/>
      <c r="C133" s="75">
        <v>246</v>
      </c>
      <c r="D133" s="75">
        <v>-10</v>
      </c>
      <c r="E133" s="75">
        <v>102</v>
      </c>
      <c r="F133" s="75">
        <v>-330</v>
      </c>
      <c r="G133" s="75">
        <v>-67</v>
      </c>
      <c r="I133" s="92"/>
      <c r="J133" s="92"/>
    </row>
    <row r="134" spans="1:10">
      <c r="A134" s="408" t="s">
        <v>418</v>
      </c>
      <c r="B134" s="538"/>
      <c r="C134" s="75">
        <v>283</v>
      </c>
      <c r="D134" s="72">
        <v>367</v>
      </c>
      <c r="E134" s="72">
        <v>591</v>
      </c>
      <c r="F134" s="72">
        <v>800</v>
      </c>
      <c r="G134" s="72">
        <v>673</v>
      </c>
      <c r="I134" s="92"/>
      <c r="J134" s="92"/>
    </row>
    <row r="135" spans="1:10" ht="15" customHeight="1">
      <c r="A135" s="408" t="s">
        <v>419</v>
      </c>
      <c r="B135" s="538"/>
      <c r="C135" s="75">
        <v>-87</v>
      </c>
      <c r="D135" s="75">
        <v>-91</v>
      </c>
      <c r="E135" s="75">
        <v>199</v>
      </c>
      <c r="F135" s="72">
        <f>38+604</f>
        <v>642</v>
      </c>
      <c r="G135" s="75">
        <f>35-313</f>
        <v>-278</v>
      </c>
      <c r="I135" s="92"/>
      <c r="J135" s="92"/>
    </row>
    <row r="136" spans="1:10">
      <c r="A136" s="408" t="s">
        <v>263</v>
      </c>
      <c r="B136" s="538"/>
      <c r="C136" s="75">
        <v>-129</v>
      </c>
      <c r="D136" s="75">
        <v>1209</v>
      </c>
      <c r="E136" s="75">
        <v>-486</v>
      </c>
      <c r="F136" s="75">
        <f>-1180+680</f>
        <v>-500</v>
      </c>
      <c r="G136" s="75">
        <v>2216</v>
      </c>
      <c r="I136" s="92"/>
      <c r="J136" s="92"/>
    </row>
    <row r="137" spans="1:10">
      <c r="A137" s="408" t="s">
        <v>264</v>
      </c>
      <c r="B137" s="538"/>
      <c r="C137" s="75">
        <v>-60</v>
      </c>
      <c r="D137" s="75">
        <v>-392</v>
      </c>
      <c r="E137" s="75">
        <v>-540</v>
      </c>
      <c r="F137" s="75">
        <v>-206</v>
      </c>
      <c r="G137" s="75">
        <v>-150</v>
      </c>
      <c r="I137" s="92"/>
      <c r="J137" s="92"/>
    </row>
    <row r="138" spans="1:10" s="103" customFormat="1">
      <c r="A138" s="74" t="s">
        <v>391</v>
      </c>
      <c r="B138" s="552"/>
      <c r="C138" s="101">
        <v>4042</v>
      </c>
      <c r="D138" s="101">
        <v>4955</v>
      </c>
      <c r="E138" s="101">
        <v>2775</v>
      </c>
      <c r="F138" s="101">
        <v>4616</v>
      </c>
      <c r="G138" s="101">
        <v>7972</v>
      </c>
    </row>
    <row r="139" spans="1:10">
      <c r="A139" s="571" t="s">
        <v>266</v>
      </c>
    </row>
    <row r="140" spans="1:10" ht="25.5">
      <c r="A140" s="408" t="s">
        <v>420</v>
      </c>
      <c r="B140" s="538"/>
      <c r="C140" s="75">
        <v>-3908</v>
      </c>
      <c r="D140" s="75">
        <v>-3255</v>
      </c>
      <c r="E140" s="75">
        <v>-3879</v>
      </c>
      <c r="F140" s="75">
        <v>-4841</v>
      </c>
      <c r="G140" s="75">
        <v>-4741</v>
      </c>
    </row>
    <row r="141" spans="1:10">
      <c r="A141" s="408" t="s">
        <v>421</v>
      </c>
      <c r="B141" s="538"/>
      <c r="C141" s="75">
        <v>-33</v>
      </c>
      <c r="D141" s="75">
        <v>-28</v>
      </c>
      <c r="E141" s="75">
        <v>-28</v>
      </c>
      <c r="F141" s="75">
        <v>-16</v>
      </c>
      <c r="G141" s="75">
        <v>-5</v>
      </c>
    </row>
    <row r="142" spans="1:10">
      <c r="A142" s="408" t="s">
        <v>422</v>
      </c>
      <c r="B142" s="538"/>
      <c r="C142" s="75">
        <v>-105</v>
      </c>
      <c r="D142" s="75">
        <v>-1</v>
      </c>
      <c r="E142" s="75">
        <v>-120</v>
      </c>
      <c r="F142" s="121">
        <v>0</v>
      </c>
      <c r="G142" s="121">
        <v>0</v>
      </c>
    </row>
    <row r="143" spans="1:10">
      <c r="A143" s="408" t="s">
        <v>761</v>
      </c>
      <c r="B143" s="538"/>
      <c r="C143" s="121">
        <v>0</v>
      </c>
      <c r="D143" s="121">
        <v>0</v>
      </c>
      <c r="E143" s="75">
        <v>-216</v>
      </c>
      <c r="F143" s="121">
        <v>0</v>
      </c>
      <c r="G143" s="121">
        <v>0</v>
      </c>
    </row>
    <row r="144" spans="1:10">
      <c r="A144" s="408" t="s">
        <v>423</v>
      </c>
      <c r="B144" s="558"/>
      <c r="C144" s="121">
        <v>0</v>
      </c>
      <c r="D144" s="121">
        <v>0</v>
      </c>
      <c r="E144" s="75">
        <v>-14</v>
      </c>
      <c r="F144" s="121">
        <v>0</v>
      </c>
      <c r="G144" s="121">
        <v>0</v>
      </c>
    </row>
    <row r="145" spans="1:10">
      <c r="A145" s="565" t="s">
        <v>267</v>
      </c>
      <c r="B145" s="559"/>
      <c r="C145" s="78">
        <v>-4046</v>
      </c>
      <c r="D145" s="78">
        <v>-3284</v>
      </c>
      <c r="E145" s="78">
        <v>-4257</v>
      </c>
      <c r="F145" s="78">
        <v>-4857</v>
      </c>
      <c r="G145" s="78">
        <v>-4746</v>
      </c>
    </row>
    <row r="146" spans="1:10" ht="25.5">
      <c r="A146" s="124" t="s">
        <v>424</v>
      </c>
      <c r="B146" s="538"/>
      <c r="C146" s="75">
        <v>18</v>
      </c>
      <c r="D146" s="72">
        <v>76</v>
      </c>
      <c r="E146" s="72">
        <v>28</v>
      </c>
      <c r="F146" s="72">
        <v>63</v>
      </c>
      <c r="G146" s="72">
        <v>25</v>
      </c>
    </row>
    <row r="147" spans="1:10">
      <c r="A147" s="408" t="s">
        <v>425</v>
      </c>
      <c r="B147" s="538"/>
      <c r="C147" s="75">
        <v>6</v>
      </c>
      <c r="D147" s="72">
        <v>47</v>
      </c>
      <c r="E147" s="72">
        <v>72</v>
      </c>
      <c r="F147" s="121">
        <v>0</v>
      </c>
    </row>
    <row r="148" spans="1:10">
      <c r="A148" s="408" t="s">
        <v>426</v>
      </c>
      <c r="B148" s="546"/>
      <c r="C148" s="92">
        <v>45</v>
      </c>
      <c r="D148" s="72">
        <f>5+53</f>
        <v>58</v>
      </c>
      <c r="E148" s="72">
        <f>180+1</f>
        <v>181</v>
      </c>
      <c r="F148" s="121">
        <v>0</v>
      </c>
      <c r="G148" s="72">
        <v>3</v>
      </c>
    </row>
    <row r="149" spans="1:10" s="131" customFormat="1">
      <c r="A149" s="574" t="s">
        <v>268</v>
      </c>
      <c r="B149" s="560"/>
      <c r="C149" s="132">
        <v>69</v>
      </c>
      <c r="D149" s="131">
        <v>181</v>
      </c>
      <c r="E149" s="131">
        <v>281</v>
      </c>
      <c r="F149" s="131">
        <v>63</v>
      </c>
      <c r="G149" s="131">
        <v>28</v>
      </c>
    </row>
    <row r="150" spans="1:10" s="103" customFormat="1">
      <c r="A150" s="74" t="s">
        <v>269</v>
      </c>
      <c r="B150" s="552"/>
      <c r="C150" s="101">
        <v>-3977</v>
      </c>
      <c r="D150" s="101">
        <v>-3103</v>
      </c>
      <c r="E150" s="101">
        <v>-3976</v>
      </c>
      <c r="F150" s="101">
        <v>-4794</v>
      </c>
      <c r="G150" s="101">
        <v>-4718</v>
      </c>
    </row>
    <row r="151" spans="1:10">
      <c r="A151" s="571" t="s">
        <v>270</v>
      </c>
    </row>
    <row r="152" spans="1:10">
      <c r="A152" s="408" t="s">
        <v>427</v>
      </c>
      <c r="B152" s="538"/>
      <c r="C152" s="75">
        <v>-60</v>
      </c>
      <c r="D152" s="75">
        <v>-170</v>
      </c>
      <c r="E152" s="75">
        <v>-170</v>
      </c>
      <c r="F152" s="75">
        <v>-170</v>
      </c>
      <c r="G152" s="75">
        <v>-982</v>
      </c>
      <c r="I152" s="92"/>
      <c r="J152" s="92"/>
    </row>
    <row r="153" spans="1:10">
      <c r="A153" s="408" t="s">
        <v>428</v>
      </c>
      <c r="B153" s="538"/>
      <c r="C153" s="75">
        <v>-4407</v>
      </c>
      <c r="D153" s="75">
        <v>-3466</v>
      </c>
      <c r="E153" s="75">
        <v>-6067</v>
      </c>
      <c r="F153" s="75">
        <v>-6758</v>
      </c>
      <c r="G153" s="75">
        <v>-9074</v>
      </c>
      <c r="I153" s="92"/>
      <c r="J153" s="92"/>
    </row>
    <row r="154" spans="1:10">
      <c r="A154" s="408" t="s">
        <v>749</v>
      </c>
      <c r="B154" s="538"/>
      <c r="C154" s="121">
        <v>0</v>
      </c>
      <c r="D154" s="121">
        <v>0</v>
      </c>
      <c r="E154" s="75">
        <v>-1061</v>
      </c>
      <c r="F154" s="121">
        <v>0</v>
      </c>
      <c r="G154" s="121"/>
      <c r="I154" s="92"/>
    </row>
    <row r="155" spans="1:10">
      <c r="A155" s="408" t="s">
        <v>429</v>
      </c>
      <c r="B155" s="538"/>
      <c r="C155" s="75">
        <v>-216</v>
      </c>
      <c r="D155" s="75">
        <v>-343</v>
      </c>
      <c r="E155" s="75">
        <v>-500</v>
      </c>
      <c r="F155" s="75">
        <v>-697</v>
      </c>
      <c r="G155" s="75">
        <v>-587</v>
      </c>
      <c r="I155" s="92"/>
      <c r="J155" s="92"/>
    </row>
    <row r="156" spans="1:10">
      <c r="A156" s="408" t="s">
        <v>699</v>
      </c>
      <c r="B156" s="538"/>
      <c r="C156" s="75">
        <v>-102</v>
      </c>
      <c r="D156" s="75">
        <v>-117</v>
      </c>
      <c r="E156" s="75">
        <v>-126</v>
      </c>
      <c r="F156" s="75">
        <v>-105</v>
      </c>
      <c r="G156" s="75">
        <v>-122</v>
      </c>
      <c r="I156" s="92"/>
      <c r="J156" s="92"/>
    </row>
    <row r="157" spans="1:10">
      <c r="A157" s="408" t="s">
        <v>423</v>
      </c>
      <c r="B157" s="538"/>
      <c r="C157" s="75">
        <v>-25</v>
      </c>
      <c r="D157" s="75">
        <v>-24</v>
      </c>
      <c r="E157" s="75">
        <v>-36</v>
      </c>
      <c r="F157" s="75">
        <v>-8</v>
      </c>
      <c r="G157" s="75">
        <v>-21</v>
      </c>
      <c r="I157" s="92"/>
      <c r="J157" s="92"/>
    </row>
    <row r="158" spans="1:10">
      <c r="A158" s="565" t="s">
        <v>267</v>
      </c>
      <c r="B158" s="559"/>
      <c r="C158" s="78">
        <v>-4810</v>
      </c>
      <c r="D158" s="78">
        <v>-4120</v>
      </c>
      <c r="E158" s="78">
        <v>-7960</v>
      </c>
      <c r="F158" s="78">
        <v>-7738</v>
      </c>
      <c r="G158" s="78">
        <v>-10786</v>
      </c>
      <c r="I158" s="92"/>
      <c r="J158" s="92"/>
    </row>
    <row r="159" spans="1:10">
      <c r="A159" s="408" t="s">
        <v>431</v>
      </c>
      <c r="B159" s="559"/>
      <c r="C159" s="75">
        <v>3369</v>
      </c>
      <c r="D159" s="75">
        <v>2003</v>
      </c>
      <c r="E159" s="75">
        <v>9440</v>
      </c>
      <c r="F159" s="72">
        <v>7982</v>
      </c>
      <c r="G159" s="75">
        <v>6962</v>
      </c>
      <c r="I159" s="92"/>
      <c r="J159" s="92"/>
    </row>
    <row r="160" spans="1:10">
      <c r="A160" s="408" t="s">
        <v>432</v>
      </c>
      <c r="B160" s="559"/>
      <c r="C160" s="75">
        <v>67</v>
      </c>
      <c r="D160" s="75">
        <v>114</v>
      </c>
      <c r="E160" s="75">
        <v>38</v>
      </c>
      <c r="F160" s="72">
        <v>36</v>
      </c>
      <c r="G160" s="75">
        <v>79</v>
      </c>
      <c r="I160" s="92"/>
      <c r="J160" s="92"/>
    </row>
    <row r="161" spans="1:9">
      <c r="A161" s="408" t="s">
        <v>430</v>
      </c>
      <c r="B161" s="538"/>
      <c r="C161" s="75">
        <v>1000</v>
      </c>
      <c r="D161" s="121">
        <v>0</v>
      </c>
      <c r="E161" s="121">
        <v>0</v>
      </c>
      <c r="F161" s="121">
        <v>0</v>
      </c>
      <c r="G161" s="121">
        <v>0</v>
      </c>
    </row>
    <row r="162" spans="1:9">
      <c r="A162" s="408" t="s">
        <v>824</v>
      </c>
      <c r="B162" s="538"/>
      <c r="C162" s="75"/>
      <c r="D162" s="121"/>
      <c r="E162" s="121"/>
      <c r="F162" s="72">
        <v>6</v>
      </c>
      <c r="G162" s="121">
        <v>0</v>
      </c>
      <c r="I162" s="682"/>
    </row>
    <row r="163" spans="1:9">
      <c r="A163" s="565" t="s">
        <v>268</v>
      </c>
      <c r="B163" s="546"/>
      <c r="C163" s="132">
        <v>4436</v>
      </c>
      <c r="D163" s="132">
        <v>2117</v>
      </c>
      <c r="E163" s="132">
        <v>9478</v>
      </c>
      <c r="F163" s="72">
        <v>8024</v>
      </c>
      <c r="G163" s="132">
        <v>7041</v>
      </c>
      <c r="I163" s="682"/>
    </row>
    <row r="164" spans="1:9" s="103" customFormat="1">
      <c r="A164" s="74" t="s">
        <v>393</v>
      </c>
      <c r="B164" s="552"/>
      <c r="C164" s="101">
        <v>-374</v>
      </c>
      <c r="D164" s="101">
        <v>-2003</v>
      </c>
      <c r="E164" s="101">
        <v>1518</v>
      </c>
      <c r="F164" s="103">
        <v>286</v>
      </c>
      <c r="G164" s="101">
        <v>-3745</v>
      </c>
    </row>
    <row r="165" spans="1:9" s="103" customFormat="1" ht="26.65" customHeight="1">
      <c r="A165" s="249" t="s">
        <v>394</v>
      </c>
      <c r="B165" s="552"/>
      <c r="C165" s="101">
        <v>-309</v>
      </c>
      <c r="D165" s="101">
        <v>-151</v>
      </c>
      <c r="E165" s="101">
        <v>317</v>
      </c>
      <c r="F165" s="103">
        <v>108</v>
      </c>
      <c r="G165" s="101">
        <v>-491</v>
      </c>
    </row>
    <row r="166" spans="1:9">
      <c r="A166" s="408" t="s">
        <v>433</v>
      </c>
      <c r="B166" s="538"/>
      <c r="C166" s="75">
        <v>3</v>
      </c>
      <c r="D166" s="75">
        <v>-3</v>
      </c>
      <c r="E166" s="75">
        <v>-24</v>
      </c>
      <c r="F166" s="72">
        <v>25</v>
      </c>
      <c r="G166" s="121">
        <v>0</v>
      </c>
    </row>
    <row r="167" spans="1:9">
      <c r="A167" s="565" t="s">
        <v>434</v>
      </c>
      <c r="B167" s="538"/>
      <c r="C167" s="75">
        <v>1204</v>
      </c>
      <c r="D167" s="75">
        <v>774</v>
      </c>
      <c r="E167" s="75">
        <v>623</v>
      </c>
      <c r="F167" s="72">
        <v>940</v>
      </c>
      <c r="G167" s="75">
        <v>1048</v>
      </c>
    </row>
    <row r="168" spans="1:9">
      <c r="A168" s="565" t="s">
        <v>395</v>
      </c>
      <c r="B168" s="538"/>
      <c r="C168" s="75">
        <v>895</v>
      </c>
      <c r="D168" s="75">
        <v>623</v>
      </c>
      <c r="E168" s="75">
        <v>940</v>
      </c>
      <c r="F168" s="72">
        <v>1048</v>
      </c>
      <c r="G168" s="75">
        <v>557</v>
      </c>
    </row>
    <row r="169" spans="1:9" s="131" customFormat="1">
      <c r="A169" s="81" t="s">
        <v>435</v>
      </c>
      <c r="B169" s="561"/>
      <c r="C169" s="95">
        <v>211</v>
      </c>
      <c r="D169" s="95">
        <v>146</v>
      </c>
      <c r="E169" s="95">
        <v>322</v>
      </c>
      <c r="F169" s="131">
        <v>372</v>
      </c>
      <c r="G169" s="95">
        <v>268</v>
      </c>
    </row>
    <row r="171" spans="1:9">
      <c r="C171" s="92"/>
      <c r="D171" s="92"/>
    </row>
  </sheetData>
  <mergeCells count="3">
    <mergeCell ref="C2:H2"/>
    <mergeCell ref="C47:G47"/>
    <mergeCell ref="C124:G124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e1df3e-82f5-4b23-9d0b-350546cf224f">
      <Terms xmlns="http://schemas.microsoft.com/office/infopath/2007/PartnerControls"/>
    </lcf76f155ced4ddcb4097134ff3c332f>
    <TaxCatchAll xmlns="666b4b6e-43ed-4b1d-ae5e-6d92ea12575d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99B29DB8D65E41BA7053985BBF754A" ma:contentTypeVersion="15" ma:contentTypeDescription="Utwórz nowy dokument." ma:contentTypeScope="" ma:versionID="877c70434f5c8f42b81d28286b968809">
  <xsd:schema xmlns:xsd="http://www.w3.org/2001/XMLSchema" xmlns:xs="http://www.w3.org/2001/XMLSchema" xmlns:p="http://schemas.microsoft.com/office/2006/metadata/properties" xmlns:ns2="dfe1df3e-82f5-4b23-9d0b-350546cf224f" xmlns:ns3="666b4b6e-43ed-4b1d-ae5e-6d92ea12575d" targetNamespace="http://schemas.microsoft.com/office/2006/metadata/properties" ma:root="true" ma:fieldsID="115e78072612d3f8d53da324f1f1216d" ns2:_="" ns3:_="">
    <xsd:import namespace="dfe1df3e-82f5-4b23-9d0b-350546cf224f"/>
    <xsd:import namespace="666b4b6e-43ed-4b1d-ae5e-6d92ea125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1df3e-82f5-4b23-9d0b-350546cf2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i obrazów" ma:readOnly="false" ma:fieldId="{5cf76f15-5ced-4ddc-b409-7134ff3c332f}" ma:taxonomyMulti="true" ma:sspId="5ebe6ab8-f229-48dd-bc8a-b3ab89121e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b4b6e-43ed-4b1d-ae5e-6d92ea125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117c93d-7fba-43ba-a580-41eee64ab63e}" ma:internalName="TaxCatchAll" ma:showField="CatchAllData" ma:web="666b4b6e-43ed-4b1d-ae5e-6d92ea1257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F6620-3575-4F78-A064-6C292F2BA7E0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E0D245D-EC38-4572-9819-D83417A9A4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2F9CEF-5802-4AB9-A055-569AD9D49429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666b4b6e-43ed-4b1d-ae5e-6d92ea12575d"/>
    <ds:schemaRef ds:uri="http://schemas.openxmlformats.org/package/2006/metadata/core-properties"/>
    <ds:schemaRef ds:uri="dfe1df3e-82f5-4b23-9d0b-350546cf224f"/>
  </ds:schemaRefs>
</ds:datastoreItem>
</file>

<file path=customXml/itemProps4.xml><?xml version="1.0" encoding="utf-8"?>
<ds:datastoreItem xmlns:ds="http://schemas.openxmlformats.org/officeDocument/2006/customXml" ds:itemID="{5582A69F-6C2C-4442-9C04-FCA67050D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1df3e-82f5-4b23-9d0b-350546cf224f"/>
    <ds:schemaRef ds:uri="666b4b6e-43ed-4b1d-ae5e-6d92ea125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6</vt:i4>
      </vt:variant>
    </vt:vector>
  </HeadingPairs>
  <TitlesOfParts>
    <vt:vector size="19" baseType="lpstr">
      <vt:lpstr>Podst. dane_Key figures</vt:lpstr>
      <vt:lpstr>Dane operacyjne_Operating data</vt:lpstr>
      <vt:lpstr>Osiąg. moc_Achievable capac</vt:lpstr>
      <vt:lpstr>Zainst. moc_Installed capacity</vt:lpstr>
      <vt:lpstr>Segmenty_Segment's results</vt:lpstr>
      <vt:lpstr>Segmenty_Segment's results (2)</vt:lpstr>
      <vt:lpstr>Inwestycje_CAPEX</vt:lpstr>
      <vt:lpstr>Rach. zysków i strat_P&amp;L</vt:lpstr>
      <vt:lpstr>Bilans_Balance sheet</vt:lpstr>
      <vt:lpstr>Cash flow</vt:lpstr>
      <vt:lpstr>Hist. dane kwart. - Q figures</vt:lpstr>
      <vt:lpstr>Hist. dane półr. - H figures</vt:lpstr>
      <vt:lpstr>Hist. dane roczne - FY figures</vt:lpstr>
      <vt:lpstr>'Bilans_Balance sheet'!Obszar_wydruku</vt:lpstr>
      <vt:lpstr>'Cash flow'!Obszar_wydruku</vt:lpstr>
      <vt:lpstr>'Hist. dane kwart. - Q figures'!Obszar_wydruku</vt:lpstr>
      <vt:lpstr>'Hist. dane półr. - H figures'!Obszar_wydruku</vt:lpstr>
      <vt:lpstr>'Hist. dane roczne - FY figures'!Obszar_wydruku</vt:lpstr>
      <vt:lpstr>'Rach. zysków i strat_P&amp;L'!Obszar_wydruku</vt:lpstr>
    </vt:vector>
  </TitlesOfParts>
  <Company>TAURON Polska Energia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Barchanowski Rafał</dc:creator>
  <cp:lastModifiedBy>Motyl Jacek (TPE)</cp:lastModifiedBy>
  <cp:lastPrinted>2024-04-12T09:42:29Z</cp:lastPrinted>
  <dcterms:created xsi:type="dcterms:W3CDTF">2016-07-29T07:12:06Z</dcterms:created>
  <dcterms:modified xsi:type="dcterms:W3CDTF">2025-05-28T14:12:21Z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0x0101003999B29DB8D65E41BA7053985BBF754A</vt:lpwstr>
  </property>
  <property fmtid="{D5CDD505-2E9C-101B-9397-08002B2CF9AE}" pid="3" name="Podsumowanie uprawnień">
    <vt:lpwstr>&lt;?xml version="1.0" encoding="utf-16"?&gt;&lt;PermissionsCollection xmlns:xsd="http://www.w3.org/2001/XMLSchema" xmlns:xsi="http://www.w3.org/2001/XMLSchema-instance"&gt;  &lt;ParentItem&gt;    &lt;BrokenInheritance&gt;false&lt;/BrokenInheritance&gt;  &lt;/ParentItem&gt;  &lt;PermissionsFie</vt:lpwstr>
  </property>
  <property fmtid="{D5CDD505-2E9C-101B-9397-08002B2CF9AE}" pid="4" name="TaxKeyword">
    <vt:lpwstr/>
  </property>
  <property fmtid="{D5CDD505-2E9C-101B-9397-08002B2CF9AE}" pid="5" name="AreaDictionary">
    <vt:lpwstr/>
  </property>
  <property fmtid="{D5CDD505-2E9C-101B-9397-08002B2CF9AE}" pid="6" name="CompanyDictionary">
    <vt:lpwstr/>
  </property>
  <property fmtid="{D5CDD505-2E9C-101B-9397-08002B2CF9AE}" pid="7" name="TaxKeywordTaxHTField">
    <vt:lpwstr/>
  </property>
  <property fmtid="{D5CDD505-2E9C-101B-9397-08002B2CF9AE}" pid="8" name="MediaServiceImageTags">
    <vt:lpwstr/>
  </property>
</Properties>
</file>